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antisconsult.sharepoint.com/sites/MantisConsultingBV/Admin/7. Website en IT/3. Website/Downloads/"/>
    </mc:Choice>
  </mc:AlternateContent>
  <xr:revisionPtr revIDLastSave="8" documentId="8_{DE53C09C-404F-4E5B-A0B6-0E25A2A432E7}" xr6:coauthVersionLast="47" xr6:coauthVersionMax="47" xr10:uidLastSave="{16CAC53A-69E4-4045-B6B0-5B864B1207AC}"/>
  <bookViews>
    <workbookView xWindow="-108" yWindow="-108" windowWidth="23256" windowHeight="12576" xr2:uid="{00000000-000D-0000-FFFF-FFFF00000000}"/>
  </bookViews>
  <sheets>
    <sheet name="Verbruik prim CO2" sheetId="9" r:id="rId1"/>
    <sheet name="Energiegebruik" sheetId="4" state="hidden" r:id="rId2"/>
    <sheet name="Energievectoren" sheetId="1" state="hidden" r:id="rId3"/>
  </sheets>
  <definedNames>
    <definedName name="_xlnm.Print_Area" localSheetId="1">Energiegebruik!$A$1:$J$27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9" l="1"/>
  <c r="K21" i="9" s="1"/>
  <c r="G20" i="9"/>
  <c r="K20" i="9" s="1"/>
  <c r="G11" i="9"/>
  <c r="K11" i="9" s="1"/>
  <c r="G8" i="9"/>
  <c r="G39" i="9"/>
  <c r="K39" i="9" s="1"/>
  <c r="G105" i="9"/>
  <c r="K105" i="9" s="1"/>
  <c r="G104" i="9"/>
  <c r="K104" i="9" s="1"/>
  <c r="G103" i="9"/>
  <c r="K103" i="9" s="1"/>
  <c r="G102" i="9"/>
  <c r="K102" i="9" s="1"/>
  <c r="G101" i="9"/>
  <c r="K101" i="9" s="1"/>
  <c r="G100" i="9"/>
  <c r="K100" i="9" s="1"/>
  <c r="G99" i="9"/>
  <c r="K99" i="9" s="1"/>
  <c r="G98" i="9"/>
  <c r="K98" i="9" s="1"/>
  <c r="G97" i="9"/>
  <c r="K97" i="9" s="1"/>
  <c r="G96" i="9"/>
  <c r="K96" i="9" s="1"/>
  <c r="G95" i="9"/>
  <c r="K95" i="9" s="1"/>
  <c r="G94" i="9"/>
  <c r="K94" i="9" s="1"/>
  <c r="G93" i="9"/>
  <c r="K93" i="9" s="1"/>
  <c r="G92" i="9"/>
  <c r="K92" i="9" s="1"/>
  <c r="G91" i="9"/>
  <c r="K91" i="9" s="1"/>
  <c r="G90" i="9"/>
  <c r="K90" i="9" s="1"/>
  <c r="G89" i="9"/>
  <c r="K89" i="9" s="1"/>
  <c r="G88" i="9"/>
  <c r="K88" i="9" s="1"/>
  <c r="G87" i="9"/>
  <c r="K87" i="9" s="1"/>
  <c r="G86" i="9"/>
  <c r="K86" i="9" s="1"/>
  <c r="G85" i="9"/>
  <c r="K85" i="9" s="1"/>
  <c r="G84" i="9"/>
  <c r="K84" i="9" s="1"/>
  <c r="O83" i="9"/>
  <c r="G83" i="9"/>
  <c r="G82" i="9"/>
  <c r="K82" i="9" s="1"/>
  <c r="G81" i="9"/>
  <c r="K81" i="9" s="1"/>
  <c r="G80" i="9"/>
  <c r="K80" i="9" s="1"/>
  <c r="G79" i="9"/>
  <c r="K79" i="9" s="1"/>
  <c r="G78" i="9"/>
  <c r="K78" i="9" s="1"/>
  <c r="G77" i="9"/>
  <c r="K77" i="9" s="1"/>
  <c r="G76" i="9"/>
  <c r="K76" i="9" s="1"/>
  <c r="G75" i="9"/>
  <c r="K75" i="9" s="1"/>
  <c r="G74" i="9"/>
  <c r="K74" i="9" s="1"/>
  <c r="G73" i="9"/>
  <c r="K73" i="9" s="1"/>
  <c r="G72" i="9"/>
  <c r="K72" i="9" s="1"/>
  <c r="G71" i="9"/>
  <c r="K71" i="9" s="1"/>
  <c r="G70" i="9"/>
  <c r="K70" i="9" s="1"/>
  <c r="G69" i="9"/>
  <c r="K69" i="9" s="1"/>
  <c r="G68" i="9"/>
  <c r="K68" i="9" s="1"/>
  <c r="G67" i="9"/>
  <c r="K67" i="9" s="1"/>
  <c r="G66" i="9"/>
  <c r="K66" i="9" s="1"/>
  <c r="G65" i="9"/>
  <c r="K65" i="9" s="1"/>
  <c r="G64" i="9"/>
  <c r="K64" i="9" s="1"/>
  <c r="G63" i="9"/>
  <c r="K63" i="9" s="1"/>
  <c r="G62" i="9"/>
  <c r="K62" i="9" s="1"/>
  <c r="G61" i="9"/>
  <c r="K61" i="9" s="1"/>
  <c r="G60" i="9"/>
  <c r="K60" i="9" s="1"/>
  <c r="G59" i="9"/>
  <c r="K59" i="9" s="1"/>
  <c r="G58" i="9"/>
  <c r="K58" i="9" s="1"/>
  <c r="G57" i="9"/>
  <c r="K57" i="9" s="1"/>
  <c r="G56" i="9"/>
  <c r="K56" i="9" s="1"/>
  <c r="G55" i="9"/>
  <c r="K55" i="9" s="1"/>
  <c r="G54" i="9"/>
  <c r="K54" i="9" s="1"/>
  <c r="G53" i="9"/>
  <c r="K53" i="9" s="1"/>
  <c r="G52" i="9"/>
  <c r="K52" i="9" s="1"/>
  <c r="G51" i="9"/>
  <c r="K51" i="9" s="1"/>
  <c r="G50" i="9"/>
  <c r="K50" i="9" s="1"/>
  <c r="G49" i="9"/>
  <c r="K49" i="9" s="1"/>
  <c r="G48" i="9"/>
  <c r="K48" i="9" s="1"/>
  <c r="G47" i="9"/>
  <c r="K47" i="9" s="1"/>
  <c r="G46" i="9"/>
  <c r="K46" i="9" s="1"/>
  <c r="G45" i="9"/>
  <c r="K45" i="9" s="1"/>
  <c r="G44" i="9"/>
  <c r="K44" i="9" s="1"/>
  <c r="G43" i="9"/>
  <c r="K43" i="9" s="1"/>
  <c r="G42" i="9"/>
  <c r="K42" i="9" s="1"/>
  <c r="G41" i="9"/>
  <c r="K41" i="9" s="1"/>
  <c r="G40" i="9"/>
  <c r="K40" i="9" s="1"/>
  <c r="G19" i="9"/>
  <c r="K19" i="9" s="1"/>
  <c r="G18" i="9"/>
  <c r="K18" i="9" s="1"/>
  <c r="G17" i="9"/>
  <c r="K17" i="9" s="1"/>
  <c r="G16" i="9"/>
  <c r="K16" i="9" s="1"/>
  <c r="G15" i="9"/>
  <c r="K15" i="9" s="1"/>
  <c r="G14" i="9"/>
  <c r="K14" i="9" s="1"/>
  <c r="G13" i="9"/>
  <c r="K13" i="9" s="1"/>
  <c r="G12" i="9"/>
  <c r="K12" i="9" s="1"/>
  <c r="G10" i="9"/>
  <c r="K10" i="9" s="1"/>
  <c r="G9" i="9"/>
  <c r="K9" i="9" s="1"/>
  <c r="E27" i="1"/>
  <c r="K83" i="9" l="1"/>
  <c r="G25" i="9"/>
  <c r="G27" i="9" s="1"/>
  <c r="O5" i="9" s="1"/>
  <c r="K8" i="9"/>
  <c r="K25" i="9" s="1"/>
  <c r="T11" i="9" l="1"/>
  <c r="T7" i="9"/>
  <c r="C48" i="1"/>
  <c r="N20" i="1" l="1"/>
  <c r="N17" i="1"/>
  <c r="N16" i="1"/>
  <c r="N15" i="1"/>
  <c r="N13" i="1"/>
  <c r="N14" i="1"/>
  <c r="N11" i="1"/>
  <c r="E41" i="1"/>
  <c r="E44" i="1"/>
  <c r="N10" i="1"/>
  <c r="N6" i="1"/>
  <c r="N5" i="1"/>
  <c r="G5" i="4" l="1"/>
  <c r="D5" i="4"/>
  <c r="H5" i="4" s="1"/>
  <c r="H12" i="4" l="1"/>
  <c r="G13" i="4"/>
  <c r="H13" i="4"/>
  <c r="G14" i="4"/>
  <c r="H14" i="4"/>
  <c r="G15" i="4"/>
  <c r="H15" i="4"/>
  <c r="G16" i="4"/>
  <c r="H16" i="4"/>
  <c r="G17" i="4"/>
  <c r="H17" i="4"/>
  <c r="G18" i="4"/>
  <c r="H18" i="4"/>
  <c r="G4" i="4"/>
  <c r="G6" i="4"/>
  <c r="G7" i="4"/>
  <c r="G8" i="4"/>
  <c r="G9" i="4"/>
  <c r="G10" i="4"/>
  <c r="G12" i="4"/>
  <c r="G21" i="1" l="1"/>
  <c r="G22" i="1" s="1"/>
  <c r="G23" i="1" s="1"/>
  <c r="G24" i="1" s="1"/>
  <c r="E17" i="1"/>
  <c r="D8" i="4" l="1"/>
  <c r="H8" i="4" s="1"/>
  <c r="D48" i="1"/>
  <c r="D9" i="4"/>
  <c r="H9" i="4" s="1"/>
  <c r="D7" i="4"/>
  <c r="H7" i="4" s="1"/>
  <c r="D6" i="4"/>
  <c r="H6" i="4" s="1"/>
  <c r="D4" i="4"/>
  <c r="H4" i="4" s="1"/>
  <c r="D3" i="4"/>
  <c r="H3" i="4" s="1"/>
  <c r="E38" i="1" l="1"/>
  <c r="E33" i="1"/>
  <c r="D10" i="4"/>
  <c r="H10" i="4" s="1"/>
  <c r="H20" i="4" s="1"/>
  <c r="H24" i="4" l="1"/>
  <c r="H22" i="4"/>
  <c r="G3" i="4"/>
  <c r="H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Recko, Joris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VEA:</t>
        </r>
        <r>
          <rPr>
            <sz val="9"/>
            <color indexed="81"/>
            <rFont val="Tahoma"/>
            <family val="2"/>
          </rPr>
          <t xml:space="preserve">
eenheden op de teller
dus voor ELEK = FINAAL (SEC)</t>
        </r>
      </text>
    </comment>
    <comment ref="C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VEA:</t>
        </r>
        <r>
          <rPr>
            <sz val="9"/>
            <color indexed="81"/>
            <rFont val="Tahoma"/>
            <family val="2"/>
          </rPr>
          <t xml:space="preserve">
omrekening van de tellereenheid naar GJ PRIMAIR</t>
        </r>
      </text>
    </comment>
    <comment ref="C2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VEA:</t>
        </r>
        <r>
          <rPr>
            <sz val="9"/>
            <color indexed="81"/>
            <rFont val="Tahoma"/>
            <family val="2"/>
          </rPr>
          <t xml:space="preserve">
hier is omzetting van MWh naar GJ dus niet alleen x 3,6, maar dus ook x 2,5 om om te rekenen van FINAAL naar PRIMAIR</t>
        </r>
      </text>
    </comment>
  </commentList>
</comments>
</file>

<file path=xl/sharedStrings.xml><?xml version="1.0" encoding="utf-8"?>
<sst xmlns="http://schemas.openxmlformats.org/spreadsheetml/2006/main" count="757" uniqueCount="211">
  <si>
    <t>Stofnaam</t>
  </si>
  <si>
    <t>Eenheden</t>
  </si>
  <si>
    <t xml:space="preserve"> </t>
  </si>
  <si>
    <t>aardgas (BVW)</t>
  </si>
  <si>
    <t>MWh-bvw</t>
  </si>
  <si>
    <t>aardgas (OVW)</t>
  </si>
  <si>
    <t>MWh-ovw</t>
  </si>
  <si>
    <t>Aardgascondensaten (ton )</t>
  </si>
  <si>
    <t>ton</t>
  </si>
  <si>
    <t>Afvalolie (ton )</t>
  </si>
  <si>
    <t>Andere aardolieproducten (ton )</t>
  </si>
  <si>
    <t>Andere bitumineuze kool (ton )</t>
  </si>
  <si>
    <t>Antraciet (ton )</t>
  </si>
  <si>
    <t>Biobenzine (m³ )</t>
  </si>
  <si>
    <t>m³</t>
  </si>
  <si>
    <t>Biodiesel (m³ )</t>
  </si>
  <si>
    <t>Biogas waterzuivering (Nm³)</t>
  </si>
  <si>
    <t>Nm³</t>
  </si>
  <si>
    <t>Biomassa hout (ton)</t>
  </si>
  <si>
    <t>Bitumen (ton )</t>
  </si>
  <si>
    <t>Bitumineuze leisteen en asfaltzand (ton )</t>
  </si>
  <si>
    <t>butaan (ton )</t>
  </si>
  <si>
    <t>butaan liq.(m³)</t>
  </si>
  <si>
    <t>Cokeskool (ton )</t>
  </si>
  <si>
    <t>Cokesovencokes en lignietcokes (ton )</t>
  </si>
  <si>
    <t>Cokesovengas (ton )</t>
  </si>
  <si>
    <t>Elektriciteit (MWh )</t>
  </si>
  <si>
    <t>MWh</t>
  </si>
  <si>
    <t>Ethaan (ton )</t>
  </si>
  <si>
    <t>Fabrieksgas (ton )</t>
  </si>
  <si>
    <t>Formaldehyde lijm (ton )</t>
  </si>
  <si>
    <t>Gascokes (ton )</t>
  </si>
  <si>
    <t>gasolie (m³)</t>
  </si>
  <si>
    <t>gasolie (ton )</t>
  </si>
  <si>
    <t>gasolie (x1000 L)</t>
  </si>
  <si>
    <t>1000 liter</t>
  </si>
  <si>
    <t>Hoogovengas (ton )</t>
  </si>
  <si>
    <t>hout/houtafval (ton)</t>
  </si>
  <si>
    <t>Houtskool (ton )</t>
  </si>
  <si>
    <t>Kerosine (andere dan vliegtuigkerosine) (m³ )</t>
  </si>
  <si>
    <t>Kerosine (andere dan vliegtuigkerosine) (ton )</t>
  </si>
  <si>
    <t>Koolmonoxide (Nm³ )</t>
  </si>
  <si>
    <t>Koolmonoxide (ton )</t>
  </si>
  <si>
    <t>Koolteer (ton )</t>
  </si>
  <si>
    <t>lampen petroleum (m³)</t>
  </si>
  <si>
    <t>lampen petroleum (ton)</t>
  </si>
  <si>
    <t>Leisteenolie (m³ )</t>
  </si>
  <si>
    <t>Leisteenolie (ton )</t>
  </si>
  <si>
    <t>Ligniet (ton )</t>
  </si>
  <si>
    <t>LPG (ton )</t>
  </si>
  <si>
    <t>LPG liq.(m³ )</t>
  </si>
  <si>
    <t>Methaan (ton )</t>
  </si>
  <si>
    <t>Methaan vap.(Nm³ )</t>
  </si>
  <si>
    <t>Motorbenzine (ton)</t>
  </si>
  <si>
    <t>Nafta (ton )</t>
  </si>
  <si>
    <t>Orimulsion (ton )</t>
  </si>
  <si>
    <t>Overig biogas (ton )</t>
  </si>
  <si>
    <t>Oxystaalovengas (ton )</t>
  </si>
  <si>
    <t>Paraffinewassen (ton )</t>
  </si>
  <si>
    <t>Petroleumcokes (ton )</t>
  </si>
  <si>
    <t>propaan (ton )</t>
  </si>
  <si>
    <t>propaan liq.(m³ )</t>
  </si>
  <si>
    <t>Raffinaderijgas (ton )</t>
  </si>
  <si>
    <t>Raffinagegrondstoffen (ton )</t>
  </si>
  <si>
    <t>Residuale stookolie (ton )</t>
  </si>
  <si>
    <t>Ruwe aardolie (ton )</t>
  </si>
  <si>
    <t>Slibgas (ton )</t>
  </si>
  <si>
    <t>Smeermiddelen (ton )</t>
  </si>
  <si>
    <t>Steenkool (ton )</t>
  </si>
  <si>
    <t>Stortgas (ton )</t>
  </si>
  <si>
    <t>Subbitumineuze kool (ton )</t>
  </si>
  <si>
    <t>Turf (ton )</t>
  </si>
  <si>
    <t>Vershout droog (ton )</t>
  </si>
  <si>
    <t>Vloeibare petroleumgas(ton)</t>
  </si>
  <si>
    <t>White spirit en industriële spiritus (ton )</t>
  </si>
  <si>
    <t>zuiver houtafval (ton )</t>
  </si>
  <si>
    <t>vector</t>
  </si>
  <si>
    <t>ELEKTRICITEIT</t>
  </si>
  <si>
    <t>BENZINE (autobenzine)</t>
  </si>
  <si>
    <t>LPG (gemengd vloeibaar gas)</t>
  </si>
  <si>
    <t>STEENKOOL</t>
  </si>
  <si>
    <t xml:space="preserve">   eigen vector 2</t>
  </si>
  <si>
    <t xml:space="preserve">   eigen vector 3</t>
  </si>
  <si>
    <t>stookolie = mazout</t>
  </si>
  <si>
    <t>STOOKOLIE (mazout)</t>
  </si>
  <si>
    <t>DIESEL</t>
  </si>
  <si>
    <t>Motorbenzine (m³)</t>
  </si>
  <si>
    <t>kg/l</t>
  </si>
  <si>
    <t>Gjprimair / eenheid</t>
  </si>
  <si>
    <t>emissiefactor ELEK</t>
  </si>
  <si>
    <t>PRIMAIR</t>
  </si>
  <si>
    <r>
      <t>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/ GJ</t>
    </r>
    <r>
      <rPr>
        <vertAlign val="subscript"/>
        <sz val="10"/>
        <color theme="1"/>
        <rFont val="Calibri"/>
        <family val="2"/>
        <scheme val="minor"/>
      </rPr>
      <t>primair</t>
    </r>
  </si>
  <si>
    <t>FINAAL</t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</si>
  <si>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/GJ</t>
    </r>
    <r>
      <rPr>
        <vertAlign val="subscript"/>
        <sz val="10"/>
        <rFont val="Calibri"/>
        <family val="2"/>
        <scheme val="minor"/>
      </rPr>
      <t>finaal</t>
    </r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</si>
  <si>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/GJ</t>
    </r>
    <r>
      <rPr>
        <vertAlign val="subscript"/>
        <sz val="10"/>
        <rFont val="Calibri"/>
        <family val="2"/>
        <scheme val="minor"/>
      </rPr>
      <t>primair</t>
    </r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</si>
  <si>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/MWh</t>
    </r>
    <r>
      <rPr>
        <vertAlign val="subscript"/>
        <sz val="10"/>
        <rFont val="Calibri"/>
        <family val="2"/>
        <scheme val="minor"/>
      </rPr>
      <t>finaal</t>
    </r>
  </si>
  <si>
    <r>
      <t>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/kWh</t>
    </r>
    <r>
      <rPr>
        <vertAlign val="subscript"/>
        <sz val="10"/>
        <rFont val="Calibri"/>
        <family val="2"/>
        <scheme val="minor"/>
      </rPr>
      <t>finaal</t>
    </r>
  </si>
  <si>
    <t xml:space="preserve">   eigen vector 1</t>
  </si>
  <si>
    <t>TOTAAL [PJ]</t>
  </si>
  <si>
    <t>TOTAAL [TJ]</t>
  </si>
  <si>
    <t>jaarverbruik</t>
  </si>
  <si>
    <t>eenheid</t>
  </si>
  <si>
    <t xml:space="preserve">   eigen vector 4</t>
  </si>
  <si>
    <t xml:space="preserve">   eigen vector 5</t>
  </si>
  <si>
    <t xml:space="preserve">   eigen vector 6</t>
  </si>
  <si>
    <t xml:space="preserve">   eigen vector 7</t>
  </si>
  <si>
    <t>AARDGAS (BVW)</t>
  </si>
  <si>
    <t>AARDGAS (OVW)</t>
  </si>
  <si>
    <t>MWh (finaal)</t>
  </si>
  <si>
    <t>MWh (OVW)</t>
  </si>
  <si>
    <t>MWh (BVW)</t>
  </si>
  <si>
    <t>energie-inhoud
(GJ primair/eenheid)</t>
  </si>
  <si>
    <t>PRIMAIR ENERGIEVERBRUIK [GJ]</t>
  </si>
  <si>
    <t>TOTAAL [GJ]</t>
  </si>
  <si>
    <t>Bron: conversiefactoren zoals vermeld in de BESCHIKKING VAN DE COMMISSIE van 18 juli 2007 tot vaststelling van richtsnoeren voor de monitoring en rapportage van de emissies van broeikasgassen overeenkomstig Richtlijn 2003/87/EG van het Europees Parlement en de Raad, Bijlage 1, Algemene Richtsnoeren, Tabel 4.</t>
  </si>
  <si>
    <t>RICHTLIJN 2012/27/EU VAN HET EUROPEES PARLEMENT EN DE RAAD van 25 oktober 2012 betreffende energie-efficiëntie, tot wijziging van Richtlijnen 2009/125/EG en 2010/30/EU en houdende intrekking van de Richtlijnen 2004/8/EG en 2006/32/EG  -  BIJLAGE IV</t>
  </si>
  <si>
    <t>Energieproduct</t>
  </si>
  <si>
    <t>kJ (NCV)</t>
  </si>
  <si>
    <t>kgoe (NCV)</t>
  </si>
  <si>
    <t>kWh (NCV)</t>
  </si>
  <si>
    <t>1 kg cokes</t>
  </si>
  <si>
    <t>1 kg steenkool</t>
  </si>
  <si>
    <t>17 200 — 30 700</t>
  </si>
  <si>
    <t>0,411 — 0,733</t>
  </si>
  <si>
    <t>4,778 — 8,528</t>
  </si>
  <si>
    <t>1 kg bruinkoolbriketten</t>
  </si>
  <si>
    <t>1 kg oude bruinkool</t>
  </si>
  <si>
    <t>10 500 — 21 000</t>
  </si>
  <si>
    <t>0,251 — 0,502</t>
  </si>
  <si>
    <t>2,917 — 5,833</t>
  </si>
  <si>
    <t>1 kg bruinkool</t>
  </si>
  <si>
    <t>5 600 — 10 500</t>
  </si>
  <si>
    <t>0,134 — 0,251</t>
  </si>
  <si>
    <t>1,556 — 2,917</t>
  </si>
  <si>
    <t>1 kg olieleisteen</t>
  </si>
  <si>
    <t>8 000 — 9 000</t>
  </si>
  <si>
    <t>0,191 — 0,215</t>
  </si>
  <si>
    <t>2,222 — 2,500</t>
  </si>
  <si>
    <t>1 kg turf</t>
  </si>
  <si>
    <t>7 800 — 13 800</t>
  </si>
  <si>
    <t>0,186 — 0,330</t>
  </si>
  <si>
    <t>2,167 — 3,833</t>
  </si>
  <si>
    <t>1 kg turfbriketten</t>
  </si>
  <si>
    <t>16 000 — 16 800</t>
  </si>
  <si>
    <t>0,382 — 0,401</t>
  </si>
  <si>
    <t>4,444 — 4,667</t>
  </si>
  <si>
    <t>1 kg zware stookolie</t>
  </si>
  <si>
    <t>1 kilo lichte stookolie</t>
  </si>
  <si>
    <t>1 kg motorbrandstof (benzine)</t>
  </si>
  <si>
    <t>1 kg paraffine</t>
  </si>
  <si>
    <t>1 kg LPG</t>
  </si>
  <si>
    <t>1 kg aardgas</t>
  </si>
  <si>
    <t>1 kg hout (25 % vochtigheidsgraad)</t>
  </si>
  <si>
    <t>1 kg pellets/houtbriketten</t>
  </si>
  <si>
    <t>1 kg afval</t>
  </si>
  <si>
    <t>7 400 — 10 700</t>
  </si>
  <si>
    <t>0,177 — 0,256</t>
  </si>
  <si>
    <t>2,056 — 2,972</t>
  </si>
  <si>
    <t>1 MJ afgeleide warmte</t>
  </si>
  <si>
    <t>1 kWh elektrische energie</t>
  </si>
  <si>
    <t>ENERGIE-INHOUD VAN GESELECTEERDE BRANDSTOFFEN VOOR HET EINDGEBRUIK — OMZETTINGSTABEL</t>
  </si>
  <si>
    <t>kJ (EBO)</t>
  </si>
  <si>
    <t>nvt</t>
  </si>
  <si>
    <t>ok</t>
  </si>
  <si>
    <t>1 kg vloeibaar aardgas (Lng)</t>
  </si>
  <si>
    <t>= dieselolie = gasolie = lichte stookolie</t>
  </si>
  <si>
    <t>~zware stookolie</t>
  </si>
  <si>
    <t>?</t>
  </si>
  <si>
    <t>Verbruiksgegevens</t>
  </si>
  <si>
    <t>Primair energieverbruik</t>
  </si>
  <si>
    <t>Elektriciteit</t>
  </si>
  <si>
    <t>Butaan</t>
  </si>
  <si>
    <t>Propaan</t>
  </si>
  <si>
    <t>Totaal</t>
  </si>
  <si>
    <t>Aardgas</t>
  </si>
  <si>
    <t>Stookolie (mazout)</t>
  </si>
  <si>
    <t>Diesel</t>
  </si>
  <si>
    <t>Benzine (autobenzine)</t>
  </si>
  <si>
    <t>Steenkool</t>
  </si>
  <si>
    <t>CO2-uitstoot</t>
  </si>
  <si>
    <r>
      <t>MWh</t>
    </r>
    <r>
      <rPr>
        <vertAlign val="subscript"/>
        <sz val="10"/>
        <color rgb="FF364156"/>
        <rFont val="Arial"/>
        <family val="2"/>
      </rPr>
      <t>sec</t>
    </r>
  </si>
  <si>
    <r>
      <t>GJ</t>
    </r>
    <r>
      <rPr>
        <vertAlign val="subscript"/>
        <sz val="10"/>
        <color rgb="FF364156"/>
        <rFont val="Arial"/>
        <family val="2"/>
      </rPr>
      <t>pr</t>
    </r>
  </si>
  <si>
    <r>
      <t>ton CO</t>
    </r>
    <r>
      <rPr>
        <vertAlign val="subscript"/>
        <sz val="10"/>
        <color rgb="FF364156"/>
        <rFont val="Arial"/>
        <family val="2"/>
      </rPr>
      <t>2</t>
    </r>
  </si>
  <si>
    <r>
      <t>MWh</t>
    </r>
    <r>
      <rPr>
        <vertAlign val="subscript"/>
        <sz val="10"/>
        <color rgb="FF364156"/>
        <rFont val="Arial"/>
        <family val="2"/>
      </rPr>
      <t>OVW</t>
    </r>
  </si>
  <si>
    <r>
      <t>MWh</t>
    </r>
    <r>
      <rPr>
        <vertAlign val="subscript"/>
        <sz val="10"/>
        <color rgb="FF364156"/>
        <rFont val="Arial"/>
        <family val="2"/>
      </rPr>
      <t>BVW</t>
    </r>
  </si>
  <si>
    <r>
      <t>GJ</t>
    </r>
    <r>
      <rPr>
        <b/>
        <vertAlign val="subscript"/>
        <sz val="10"/>
        <color rgb="FF364156"/>
        <rFont val="Arial"/>
        <family val="2"/>
      </rPr>
      <t>pr</t>
    </r>
  </si>
  <si>
    <r>
      <t>ton CO</t>
    </r>
    <r>
      <rPr>
        <b/>
        <vertAlign val="subscript"/>
        <sz val="10"/>
        <color rgb="FF364156"/>
        <rFont val="Arial"/>
        <family val="2"/>
      </rPr>
      <t>2</t>
    </r>
  </si>
  <si>
    <r>
      <t>GJ</t>
    </r>
    <r>
      <rPr>
        <vertAlign val="subscript"/>
        <sz val="10"/>
        <rFont val="Arial"/>
        <family val="2"/>
      </rPr>
      <t>pr</t>
    </r>
  </si>
  <si>
    <r>
      <t>ton CO</t>
    </r>
    <r>
      <rPr>
        <vertAlign val="subscript"/>
        <sz val="10"/>
        <rFont val="Arial"/>
        <family val="2"/>
      </rPr>
      <t>2</t>
    </r>
  </si>
  <si>
    <t>invulcel</t>
  </si>
  <si>
    <t>berekende cel (niet wijzigen)</t>
  </si>
  <si>
    <r>
      <t>Berekening primair energieverbruik en CO</t>
    </r>
    <r>
      <rPr>
        <b/>
        <vertAlign val="sub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-uitstoot</t>
    </r>
    <r>
      <rPr>
        <b/>
        <sz val="10"/>
        <color theme="0"/>
        <rFont val="Arial"/>
        <family val="2"/>
      </rPr>
      <t xml:space="preserve"> - COURANTE ENERGIEDRAGERS</t>
    </r>
  </si>
  <si>
    <r>
      <t>kg CO</t>
    </r>
    <r>
      <rPr>
        <vertAlign val="subscript"/>
        <sz val="10"/>
        <color theme="0" tint="-0.499984740745262"/>
        <rFont val="Arial"/>
        <family val="2"/>
      </rPr>
      <t>2</t>
    </r>
    <r>
      <rPr>
        <sz val="10"/>
        <color theme="0" tint="-0.499984740745262"/>
        <rFont val="Arial"/>
        <family val="2"/>
      </rPr>
      <t xml:space="preserve"> / GJ</t>
    </r>
    <r>
      <rPr>
        <vertAlign val="subscript"/>
        <sz val="10"/>
        <color theme="0" tint="-0.499984740745262"/>
        <rFont val="Arial"/>
        <family val="2"/>
      </rPr>
      <t>primair</t>
    </r>
  </si>
  <si>
    <t>Deze tool is gratis en richtinggevend. Mantis Consulting kan op geen enkele manier verantwoordelijk gehouden worden voor het gebruik van de resultaten ervan.</t>
  </si>
  <si>
    <t>© Mantis Consulting BV</t>
  </si>
  <si>
    <t>Biomassa hout</t>
  </si>
  <si>
    <r>
      <rPr>
        <b/>
        <sz val="10"/>
        <color theme="0"/>
        <rFont val="Arial"/>
        <family val="2"/>
      </rPr>
      <t>Berekening primair energieverbruik en CO</t>
    </r>
    <r>
      <rPr>
        <b/>
        <vertAlign val="sub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-uitstoot - VOLLEDIGE LIJST</t>
    </r>
    <r>
      <rPr>
        <sz val="10"/>
        <color rgb="FFFFFFFF"/>
        <rFont val="Arial"/>
        <family val="2"/>
      </rPr>
      <t xml:space="preserve"> (bron: Vlaams Energie- en Klimaatagentschap - VEKA)</t>
    </r>
  </si>
  <si>
    <t>eigen vector 1 - biogas</t>
  </si>
  <si>
    <t>biogas</t>
  </si>
  <si>
    <t>CH4</t>
  </si>
  <si>
    <t>kWh/m³</t>
  </si>
  <si>
    <t>%CH4</t>
  </si>
  <si>
    <r>
      <t>PJ</t>
    </r>
    <r>
      <rPr>
        <b/>
        <vertAlign val="subscript"/>
        <sz val="10"/>
        <color rgb="FFF96E46"/>
        <rFont val="Arial"/>
        <family val="2"/>
      </rPr>
      <t>pr</t>
    </r>
  </si>
  <si>
    <t>Site</t>
  </si>
  <si>
    <t>energie-intensief</t>
  </si>
  <si>
    <t>energiebalans kmo</t>
  </si>
  <si>
    <t>energie-audit kmo</t>
  </si>
  <si>
    <t>primair energieverbruik</t>
  </si>
  <si>
    <t>geen verplichting</t>
  </si>
  <si>
    <t>site:</t>
  </si>
  <si>
    <t>Legende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</si>
</sst>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\ &quot;kg/GJ&quot;"/>
    <numFmt numFmtId="165" formatCode="0.000"/>
    <numFmt numFmtId="166" formatCode="0.0"/>
    <numFmt numFmtId="167" formatCode="0.00000"/>
    <numFmt numFmtId="168" formatCode="0.0000"/>
    <numFmt numFmtId="169" formatCode="#,##0.000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0"/>
      <name val="Arial"/>
      <family val="2"/>
    </font>
    <font>
      <b/>
      <vertAlign val="subscript"/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364156"/>
      <name val="Arial"/>
      <family val="2"/>
    </font>
    <font>
      <vertAlign val="subscript"/>
      <sz val="10"/>
      <color rgb="FF364156"/>
      <name val="Arial"/>
      <family val="2"/>
    </font>
    <font>
      <sz val="11"/>
      <color rgb="FF364156"/>
      <name val="Arial"/>
      <family val="2"/>
    </font>
    <font>
      <b/>
      <sz val="10"/>
      <color rgb="FFFA7D00"/>
      <name val="Arial"/>
      <family val="2"/>
    </font>
    <font>
      <i/>
      <sz val="10"/>
      <color theme="1" tint="0.499984740745262"/>
      <name val="Arial"/>
      <family val="2"/>
    </font>
    <font>
      <i/>
      <sz val="10"/>
      <color rgb="FF364156"/>
      <name val="Arial"/>
      <family val="2"/>
    </font>
    <font>
      <b/>
      <sz val="10"/>
      <color rgb="FF364156"/>
      <name val="Arial"/>
      <family val="2"/>
    </font>
    <font>
      <b/>
      <vertAlign val="subscript"/>
      <sz val="10"/>
      <color rgb="FF364156"/>
      <name val="Arial"/>
      <family val="2"/>
    </font>
    <font>
      <vertAlign val="subscript"/>
      <sz val="10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vertAlign val="subscript"/>
      <sz val="10"/>
      <color theme="0" tint="-0.499984740745262"/>
      <name val="Arial"/>
      <family val="2"/>
    </font>
    <font>
      <sz val="11"/>
      <color theme="0"/>
      <name val="Arial"/>
      <family val="2"/>
    </font>
    <font>
      <sz val="9"/>
      <color rgb="FFF96E46"/>
      <name val="Arial"/>
      <family val="2"/>
    </font>
    <font>
      <sz val="10"/>
      <color rgb="FF57B030"/>
      <name val="Arial"/>
      <family val="2"/>
    </font>
    <font>
      <sz val="10"/>
      <color rgb="FFFFFFFF"/>
      <name val="Arial"/>
      <family val="2"/>
    </font>
    <font>
      <i/>
      <sz val="10"/>
      <color theme="0" tint="-0.499984740745262"/>
      <name val="Arial"/>
      <family val="2"/>
    </font>
    <font>
      <b/>
      <sz val="10"/>
      <color rgb="FFF96E46"/>
      <name val="Arial"/>
      <family val="2"/>
    </font>
    <font>
      <b/>
      <vertAlign val="subscript"/>
      <sz val="10"/>
      <color rgb="FFF96E46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lightGrid">
        <bgColor theme="2" tint="-9.9978637043366805E-2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</patternFill>
    </fill>
    <fill>
      <patternFill patternType="solid">
        <fgColor rgb="FF3641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2F2F2"/>
      </patternFill>
    </fill>
    <fill>
      <patternFill patternType="solid">
        <fgColor rgb="FF96ACAD"/>
        <bgColor indexed="64"/>
      </patternFill>
    </fill>
    <fill>
      <patternFill patternType="solid">
        <fgColor rgb="FFE9EDF4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86634"/>
      </left>
      <right/>
      <top style="medium">
        <color rgb="FF086634"/>
      </top>
      <bottom style="medium">
        <color rgb="FF086634"/>
      </bottom>
      <diagonal/>
    </border>
    <border>
      <left style="medium">
        <color rgb="FF086634"/>
      </left>
      <right/>
      <top/>
      <bottom/>
      <diagonal/>
    </border>
    <border>
      <left style="medium">
        <color rgb="FF086634"/>
      </left>
      <right/>
      <top/>
      <bottom style="medium">
        <color rgb="FF08663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indexed="64"/>
      </bottom>
      <diagonal/>
    </border>
    <border>
      <left/>
      <right/>
      <top style="thin">
        <color theme="3" tint="-0.249977111117893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indexed="64"/>
      </bottom>
      <diagonal/>
    </border>
    <border>
      <left style="medium">
        <color rgb="FF08663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rgb="FF086634"/>
      </bottom>
      <diagonal/>
    </border>
    <border>
      <left/>
      <right style="medium">
        <color indexed="64"/>
      </right>
      <top style="medium">
        <color indexed="64"/>
      </top>
      <bottom style="medium">
        <color rgb="FF086634"/>
      </bottom>
      <diagonal/>
    </border>
    <border>
      <left/>
      <right style="medium">
        <color indexed="64"/>
      </right>
      <top style="medium">
        <color rgb="FF086634"/>
      </top>
      <bottom/>
      <diagonal/>
    </border>
    <border>
      <left/>
      <right/>
      <top style="medium">
        <color indexed="64"/>
      </top>
      <bottom style="medium">
        <color rgb="FF08663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rgb="FF086634"/>
      </left>
      <right style="medium">
        <color indexed="64"/>
      </right>
      <top style="medium">
        <color indexed="64"/>
      </top>
      <bottom style="medium">
        <color rgb="FF08663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86634"/>
      </left>
      <right/>
      <top style="medium">
        <color indexed="64"/>
      </top>
      <bottom style="medium">
        <color rgb="FF086634"/>
      </bottom>
      <diagonal/>
    </border>
    <border>
      <left style="medium">
        <color rgb="FF08663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364156"/>
      </left>
      <right/>
      <top style="medium">
        <color rgb="FF364156"/>
      </top>
      <bottom style="medium">
        <color rgb="FF364156"/>
      </bottom>
      <diagonal/>
    </border>
    <border>
      <left/>
      <right/>
      <top style="medium">
        <color rgb="FF364156"/>
      </top>
      <bottom style="medium">
        <color rgb="FF364156"/>
      </bottom>
      <diagonal/>
    </border>
    <border>
      <left/>
      <right style="medium">
        <color rgb="FF364156"/>
      </right>
      <top style="medium">
        <color rgb="FF364156"/>
      </top>
      <bottom style="medium">
        <color rgb="FF364156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0" fillId="11" borderId="25" applyNumberFormat="0" applyAlignment="0" applyProtection="0"/>
    <xf numFmtId="0" fontId="21" fillId="15" borderId="25" applyNumberFormat="0" applyAlignment="0" applyProtection="0"/>
  </cellStyleXfs>
  <cellXfs count="207">
    <xf numFmtId="0" fontId="0" fillId="0" borderId="0" xfId="0"/>
    <xf numFmtId="0" fontId="3" fillId="0" borderId="0" xfId="0" applyFont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164" fontId="3" fillId="3" borderId="4" xfId="0" applyNumberFormat="1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165" fontId="3" fillId="4" borderId="5" xfId="0" applyNumberFormat="1" applyFont="1" applyFill="1" applyBorder="1" applyProtection="1"/>
    <xf numFmtId="2" fontId="3" fillId="4" borderId="6" xfId="0" applyNumberFormat="1" applyFont="1" applyFill="1" applyBorder="1" applyProtection="1"/>
    <xf numFmtId="167" fontId="3" fillId="4" borderId="5" xfId="0" applyNumberFormat="1" applyFont="1" applyFill="1" applyBorder="1" applyProtection="1"/>
    <xf numFmtId="0" fontId="3" fillId="4" borderId="7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4" borderId="5" xfId="0" applyFont="1" applyFill="1" applyBorder="1" applyProtection="1"/>
    <xf numFmtId="0" fontId="6" fillId="4" borderId="6" xfId="0" applyFont="1" applyFill="1" applyBorder="1" applyProtection="1"/>
    <xf numFmtId="0" fontId="6" fillId="0" borderId="0" xfId="0" applyFont="1"/>
    <xf numFmtId="166" fontId="6" fillId="4" borderId="6" xfId="0" applyNumberFormat="1" applyFont="1" applyFill="1" applyBorder="1" applyProtection="1"/>
    <xf numFmtId="0" fontId="6" fillId="0" borderId="0" xfId="0" quotePrefix="1" applyFont="1"/>
    <xf numFmtId="0" fontId="7" fillId="4" borderId="5" xfId="0" applyFont="1" applyFill="1" applyBorder="1" applyProtection="1"/>
    <xf numFmtId="0" fontId="7" fillId="4" borderId="6" xfId="0" applyFont="1" applyFill="1" applyBorder="1" applyProtection="1"/>
    <xf numFmtId="0" fontId="7" fillId="0" borderId="0" xfId="0" applyFont="1"/>
    <xf numFmtId="0" fontId="4" fillId="6" borderId="0" xfId="0" applyFont="1" applyFill="1"/>
    <xf numFmtId="0" fontId="5" fillId="6" borderId="0" xfId="0" applyFont="1" applyFill="1"/>
    <xf numFmtId="3" fontId="4" fillId="6" borderId="0" xfId="0" applyNumberFormat="1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Border="1"/>
    <xf numFmtId="9" fontId="2" fillId="6" borderId="0" xfId="1" applyFont="1" applyFill="1" applyAlignment="1">
      <alignment horizontal="center"/>
    </xf>
    <xf numFmtId="3" fontId="4" fillId="6" borderId="0" xfId="0" quotePrefix="1" applyNumberFormat="1" applyFont="1" applyFill="1"/>
    <xf numFmtId="2" fontId="4" fillId="6" borderId="0" xfId="0" applyNumberFormat="1" applyFont="1" applyFill="1"/>
    <xf numFmtId="0" fontId="4" fillId="6" borderId="0" xfId="0" quotePrefix="1" applyFont="1" applyFill="1"/>
    <xf numFmtId="0" fontId="5" fillId="6" borderId="0" xfId="0" applyFont="1" applyFill="1" applyAlignment="1">
      <alignment horizontal="center" wrapText="1"/>
    </xf>
    <xf numFmtId="3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/>
    <xf numFmtId="169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9" fontId="2" fillId="6" borderId="0" xfId="1" applyFont="1" applyFill="1" applyBorder="1" applyAlignment="1">
      <alignment horizontal="center"/>
    </xf>
    <xf numFmtId="1" fontId="4" fillId="8" borderId="0" xfId="0" applyNumberFormat="1" applyFont="1" applyFill="1" applyAlignment="1">
      <alignment horizontal="center"/>
    </xf>
    <xf numFmtId="166" fontId="4" fillId="8" borderId="0" xfId="0" applyNumberFormat="1" applyFont="1" applyFill="1" applyAlignment="1">
      <alignment horizontal="center"/>
    </xf>
    <xf numFmtId="167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68" fontId="4" fillId="8" borderId="0" xfId="0" applyNumberFormat="1" applyFont="1" applyFill="1" applyAlignment="1">
      <alignment horizontal="center"/>
    </xf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center"/>
    </xf>
    <xf numFmtId="0" fontId="4" fillId="6" borderId="9" xfId="0" applyFont="1" applyFill="1" applyBorder="1"/>
    <xf numFmtId="0" fontId="4" fillId="6" borderId="18" xfId="0" applyFont="1" applyFill="1" applyBorder="1"/>
    <xf numFmtId="0" fontId="4" fillId="6" borderId="10" xfId="0" applyFont="1" applyFill="1" applyBorder="1"/>
    <xf numFmtId="0" fontId="4" fillId="6" borderId="19" xfId="0" applyFont="1" applyFill="1" applyBorder="1"/>
    <xf numFmtId="0" fontId="4" fillId="6" borderId="20" xfId="0" applyFont="1" applyFill="1" applyBorder="1"/>
    <xf numFmtId="0" fontId="4" fillId="6" borderId="11" xfId="0" applyFont="1" applyFill="1" applyBorder="1"/>
    <xf numFmtId="0" fontId="4" fillId="6" borderId="21" xfId="0" applyFont="1" applyFill="1" applyBorder="1"/>
    <xf numFmtId="0" fontId="4" fillId="6" borderId="12" xfId="0" applyFont="1" applyFill="1" applyBorder="1"/>
    <xf numFmtId="0" fontId="4" fillId="7" borderId="0" xfId="0" applyFont="1" applyFill="1" applyBorder="1"/>
    <xf numFmtId="0" fontId="5" fillId="6" borderId="13" xfId="0" applyFont="1" applyFill="1" applyBorder="1"/>
    <xf numFmtId="169" fontId="5" fillId="6" borderId="4" xfId="0" applyNumberFormat="1" applyFont="1" applyFill="1" applyBorder="1" applyAlignment="1">
      <alignment horizontal="center"/>
    </xf>
    <xf numFmtId="0" fontId="4" fillId="6" borderId="15" xfId="0" applyFont="1" applyFill="1" applyBorder="1"/>
    <xf numFmtId="0" fontId="14" fillId="6" borderId="17" xfId="0" applyFont="1" applyFill="1" applyBorder="1" applyAlignment="1">
      <alignment horizontal="right"/>
    </xf>
    <xf numFmtId="0" fontId="13" fillId="9" borderId="13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11" fillId="9" borderId="14" xfId="0" applyFont="1" applyFill="1" applyBorder="1"/>
    <xf numFmtId="166" fontId="11" fillId="9" borderId="0" xfId="0" applyNumberFormat="1" applyFont="1" applyFill="1" applyBorder="1"/>
    <xf numFmtId="0" fontId="11" fillId="9" borderId="0" xfId="0" applyFont="1" applyFill="1" applyBorder="1"/>
    <xf numFmtId="0" fontId="11" fillId="9" borderId="6" xfId="0" applyFont="1" applyFill="1" applyBorder="1"/>
    <xf numFmtId="0" fontId="11" fillId="9" borderId="15" xfId="0" applyFont="1" applyFill="1" applyBorder="1"/>
    <xf numFmtId="166" fontId="11" fillId="9" borderId="16" xfId="0" applyNumberFormat="1" applyFont="1" applyFill="1" applyBorder="1"/>
    <xf numFmtId="0" fontId="11" fillId="9" borderId="16" xfId="0" applyFont="1" applyFill="1" applyBorder="1"/>
    <xf numFmtId="0" fontId="3" fillId="9" borderId="17" xfId="0" applyFont="1" applyFill="1" applyBorder="1"/>
    <xf numFmtId="0" fontId="16" fillId="0" borderId="0" xfId="0" applyFont="1"/>
    <xf numFmtId="0" fontId="16" fillId="10" borderId="0" xfId="0" applyFont="1" applyFill="1"/>
    <xf numFmtId="3" fontId="0" fillId="10" borderId="0" xfId="0" applyNumberFormat="1" applyFill="1"/>
    <xf numFmtId="0" fontId="0" fillId="10" borderId="0" xfId="0" applyFill="1"/>
    <xf numFmtId="0" fontId="16" fillId="4" borderId="0" xfId="0" applyFont="1" applyFill="1"/>
    <xf numFmtId="3" fontId="0" fillId="4" borderId="0" xfId="0" applyNumberFormat="1" applyFill="1"/>
    <xf numFmtId="3" fontId="2" fillId="4" borderId="0" xfId="0" applyNumberFormat="1" applyFont="1" applyFill="1"/>
    <xf numFmtId="3" fontId="0" fillId="4" borderId="0" xfId="0" applyNumberFormat="1" applyFill="1" applyAlignment="1">
      <alignment horizontal="right"/>
    </xf>
    <xf numFmtId="166" fontId="3" fillId="0" borderId="0" xfId="0" applyNumberFormat="1" applyFont="1"/>
    <xf numFmtId="2" fontId="6" fillId="0" borderId="0" xfId="0" applyNumberFormat="1" applyFont="1"/>
    <xf numFmtId="0" fontId="18" fillId="4" borderId="5" xfId="0" applyFont="1" applyFill="1" applyBorder="1" applyProtection="1"/>
    <xf numFmtId="0" fontId="19" fillId="13" borderId="0" xfId="0" applyFont="1" applyFill="1" applyProtection="1"/>
    <xf numFmtId="0" fontId="19" fillId="0" borderId="0" xfId="0" applyFont="1" applyProtection="1"/>
    <xf numFmtId="0" fontId="19" fillId="13" borderId="0" xfId="0" applyFont="1" applyFill="1" applyAlignment="1" applyProtection="1">
      <alignment horizontal="center"/>
    </xf>
    <xf numFmtId="0" fontId="25" fillId="13" borderId="0" xfId="0" applyFont="1" applyFill="1" applyProtection="1"/>
    <xf numFmtId="0" fontId="26" fillId="14" borderId="26" xfId="0" applyFont="1" applyFill="1" applyBorder="1" applyAlignment="1" applyProtection="1">
      <alignment vertical="center"/>
    </xf>
    <xf numFmtId="0" fontId="27" fillId="14" borderId="27" xfId="0" applyFont="1" applyFill="1" applyBorder="1" applyAlignment="1" applyProtection="1">
      <alignment vertical="center"/>
    </xf>
    <xf numFmtId="0" fontId="28" fillId="14" borderId="28" xfId="0" applyFont="1" applyFill="1" applyBorder="1" applyAlignment="1" applyProtection="1">
      <alignment horizontal="right" vertical="center"/>
    </xf>
    <xf numFmtId="0" fontId="27" fillId="14" borderId="26" xfId="0" applyFont="1" applyFill="1" applyBorder="1" applyAlignment="1" applyProtection="1">
      <alignment vertical="center"/>
    </xf>
    <xf numFmtId="0" fontId="28" fillId="14" borderId="33" xfId="0" applyFont="1" applyFill="1" applyBorder="1" applyAlignment="1" applyProtection="1">
      <alignment horizontal="right" vertical="center"/>
    </xf>
    <xf numFmtId="0" fontId="27" fillId="14" borderId="36" xfId="0" applyFont="1" applyFill="1" applyBorder="1" applyAlignment="1" applyProtection="1">
      <alignment vertical="center"/>
    </xf>
    <xf numFmtId="0" fontId="28" fillId="14" borderId="37" xfId="0" applyFont="1" applyFill="1" applyBorder="1" applyAlignment="1" applyProtection="1">
      <alignment horizontal="right" vertical="center"/>
    </xf>
    <xf numFmtId="0" fontId="19" fillId="13" borderId="19" xfId="0" applyFont="1" applyFill="1" applyBorder="1" applyProtection="1"/>
    <xf numFmtId="0" fontId="30" fillId="13" borderId="20" xfId="0" applyFont="1" applyFill="1" applyBorder="1" applyAlignment="1" applyProtection="1">
      <alignment horizontal="center"/>
    </xf>
    <xf numFmtId="0" fontId="32" fillId="13" borderId="0" xfId="0" applyFont="1" applyFill="1" applyProtection="1"/>
    <xf numFmtId="0" fontId="30" fillId="13" borderId="23" xfId="0" applyFont="1" applyFill="1" applyBorder="1" applyProtection="1"/>
    <xf numFmtId="0" fontId="30" fillId="13" borderId="38" xfId="0" applyFont="1" applyFill="1" applyBorder="1" applyAlignment="1" applyProtection="1">
      <alignment horizontal="center"/>
    </xf>
    <xf numFmtId="0" fontId="19" fillId="13" borderId="13" xfId="0" applyFont="1" applyFill="1" applyBorder="1" applyProtection="1"/>
    <xf numFmtId="0" fontId="19" fillId="13" borderId="3" xfId="0" applyFont="1" applyFill="1" applyBorder="1" applyProtection="1"/>
    <xf numFmtId="0" fontId="19" fillId="13" borderId="4" xfId="0" applyFont="1" applyFill="1" applyBorder="1" applyProtection="1"/>
    <xf numFmtId="171" fontId="33" fillId="15" borderId="35" xfId="4" applyNumberFormat="1" applyFont="1" applyBorder="1" applyAlignment="1" applyProtection="1">
      <alignment horizontal="center"/>
    </xf>
    <xf numFmtId="0" fontId="19" fillId="13" borderId="6" xfId="0" applyFont="1" applyFill="1" applyBorder="1" applyProtection="1"/>
    <xf numFmtId="0" fontId="19" fillId="13" borderId="14" xfId="0" applyFont="1" applyFill="1" applyBorder="1" applyProtection="1"/>
    <xf numFmtId="0" fontId="19" fillId="13" borderId="15" xfId="0" applyFont="1" applyFill="1" applyBorder="1" applyProtection="1"/>
    <xf numFmtId="0" fontId="19" fillId="13" borderId="16" xfId="0" applyFont="1" applyFill="1" applyBorder="1" applyProtection="1"/>
    <xf numFmtId="0" fontId="19" fillId="13" borderId="17" xfId="0" applyFont="1" applyFill="1" applyBorder="1" applyProtection="1"/>
    <xf numFmtId="0" fontId="34" fillId="13" borderId="11" xfId="0" applyFont="1" applyFill="1" applyBorder="1" applyProtection="1"/>
    <xf numFmtId="171" fontId="26" fillId="14" borderId="21" xfId="2" applyNumberFormat="1" applyFont="1" applyFill="1" applyBorder="1" applyAlignment="1" applyProtection="1">
      <alignment horizontal="center"/>
    </xf>
    <xf numFmtId="0" fontId="30" fillId="13" borderId="12" xfId="0" applyFont="1" applyFill="1" applyBorder="1" applyAlignment="1" applyProtection="1">
      <alignment horizontal="center"/>
    </xf>
    <xf numFmtId="171" fontId="30" fillId="13" borderId="11" xfId="2" applyNumberFormat="1" applyFont="1" applyFill="1" applyBorder="1" applyAlignment="1" applyProtection="1">
      <alignment horizontal="center"/>
    </xf>
    <xf numFmtId="0" fontId="32" fillId="13" borderId="0" xfId="0" applyFont="1" applyFill="1" applyAlignment="1" applyProtection="1">
      <alignment vertical="center"/>
    </xf>
    <xf numFmtId="0" fontId="26" fillId="13" borderId="24" xfId="0" applyFont="1" applyFill="1" applyBorder="1" applyProtection="1"/>
    <xf numFmtId="0" fontId="25" fillId="13" borderId="0" xfId="0" applyFont="1" applyFill="1" applyAlignment="1" applyProtection="1">
      <alignment vertical="center"/>
    </xf>
    <xf numFmtId="0" fontId="22" fillId="12" borderId="31" xfId="0" applyFont="1" applyFill="1" applyBorder="1" applyAlignment="1" applyProtection="1">
      <alignment vertical="center"/>
    </xf>
    <xf numFmtId="0" fontId="22" fillId="12" borderId="32" xfId="0" applyFont="1" applyFill="1" applyBorder="1" applyAlignment="1" applyProtection="1">
      <alignment vertical="center"/>
    </xf>
    <xf numFmtId="0" fontId="22" fillId="12" borderId="30" xfId="0" applyFont="1" applyFill="1" applyBorder="1" applyAlignment="1" applyProtection="1">
      <alignment vertical="center"/>
    </xf>
    <xf numFmtId="0" fontId="26" fillId="14" borderId="22" xfId="0" applyFont="1" applyFill="1" applyBorder="1" applyAlignment="1" applyProtection="1">
      <alignment vertical="center"/>
    </xf>
    <xf numFmtId="171" fontId="30" fillId="11" borderId="25" xfId="3" applyNumberFormat="1" applyFont="1" applyBorder="1" applyAlignment="1" applyProtection="1">
      <alignment horizontal="center"/>
    </xf>
    <xf numFmtId="0" fontId="19" fillId="13" borderId="20" xfId="0" applyFont="1" applyFill="1" applyBorder="1" applyAlignment="1" applyProtection="1">
      <alignment horizontal="center"/>
    </xf>
    <xf numFmtId="0" fontId="19" fillId="13" borderId="23" xfId="0" applyFont="1" applyFill="1" applyBorder="1" applyProtection="1"/>
    <xf numFmtId="171" fontId="30" fillId="11" borderId="40" xfId="3" applyNumberFormat="1" applyFont="1" applyBorder="1" applyAlignment="1" applyProtection="1">
      <alignment horizontal="center"/>
    </xf>
    <xf numFmtId="0" fontId="19" fillId="13" borderId="12" xfId="0" applyFont="1" applyFill="1" applyBorder="1" applyAlignment="1" applyProtection="1">
      <alignment horizontal="center"/>
    </xf>
    <xf numFmtId="0" fontId="19" fillId="13" borderId="24" xfId="0" applyFont="1" applyFill="1" applyBorder="1" applyProtection="1"/>
    <xf numFmtId="0" fontId="19" fillId="14" borderId="36" xfId="0" applyFont="1" applyFill="1" applyBorder="1" applyAlignment="1" applyProtection="1">
      <alignment vertical="center"/>
    </xf>
    <xf numFmtId="0" fontId="26" fillId="14" borderId="41" xfId="0" applyFont="1" applyFill="1" applyBorder="1" applyAlignment="1" applyProtection="1">
      <alignment horizontal="right" vertical="center"/>
    </xf>
    <xf numFmtId="0" fontId="19" fillId="13" borderId="38" xfId="0" applyFont="1" applyFill="1" applyBorder="1" applyAlignment="1" applyProtection="1">
      <alignment horizontal="center"/>
    </xf>
    <xf numFmtId="171" fontId="33" fillId="15" borderId="42" xfId="4" applyNumberFormat="1" applyFont="1" applyBorder="1" applyAlignment="1" applyProtection="1">
      <alignment horizontal="center"/>
    </xf>
    <xf numFmtId="0" fontId="26" fillId="14" borderId="37" xfId="0" applyFont="1" applyFill="1" applyBorder="1" applyAlignment="1" applyProtection="1">
      <alignment horizontal="right" vertical="center"/>
    </xf>
    <xf numFmtId="1" fontId="40" fillId="2" borderId="43" xfId="0" applyNumberFormat="1" applyFont="1" applyFill="1" applyBorder="1" applyAlignment="1" applyProtection="1">
      <alignment horizontal="center" vertical="center" wrapText="1"/>
    </xf>
    <xf numFmtId="1" fontId="40" fillId="2" borderId="44" xfId="0" applyNumberFormat="1" applyFont="1" applyFill="1" applyBorder="1" applyAlignment="1" applyProtection="1">
      <alignment horizontal="center" vertical="center" wrapText="1"/>
    </xf>
    <xf numFmtId="0" fontId="40" fillId="4" borderId="45" xfId="0" applyFont="1" applyFill="1" applyBorder="1" applyProtection="1"/>
    <xf numFmtId="0" fontId="40" fillId="4" borderId="20" xfId="0" applyFont="1" applyFill="1" applyBorder="1" applyProtection="1"/>
    <xf numFmtId="165" fontId="40" fillId="4" borderId="45" xfId="0" applyNumberFormat="1" applyFont="1" applyFill="1" applyBorder="1" applyProtection="1"/>
    <xf numFmtId="166" fontId="40" fillId="4" borderId="20" xfId="0" applyNumberFormat="1" applyFont="1" applyFill="1" applyBorder="1" applyProtection="1"/>
    <xf numFmtId="2" fontId="40" fillId="4" borderId="20" xfId="0" applyNumberFormat="1" applyFont="1" applyFill="1" applyBorder="1" applyProtection="1"/>
    <xf numFmtId="167" fontId="40" fillId="4" borderId="45" xfId="0" applyNumberFormat="1" applyFont="1" applyFill="1" applyBorder="1" applyProtection="1"/>
    <xf numFmtId="0" fontId="40" fillId="4" borderId="46" xfId="0" applyFont="1" applyFill="1" applyBorder="1" applyProtection="1"/>
    <xf numFmtId="0" fontId="40" fillId="4" borderId="12" xfId="0" applyFont="1" applyFill="1" applyBorder="1" applyProtection="1"/>
    <xf numFmtId="0" fontId="42" fillId="16" borderId="0" xfId="0" applyFont="1" applyFill="1" applyAlignment="1">
      <alignment horizontal="left" vertical="center" indent="1"/>
    </xf>
    <xf numFmtId="0" fontId="42" fillId="16" borderId="0" xfId="0" applyFont="1" applyFill="1" applyAlignment="1">
      <alignment horizontal="left" vertical="center"/>
    </xf>
    <xf numFmtId="3" fontId="33" fillId="15" borderId="34" xfId="4" applyNumberFormat="1" applyFont="1" applyBorder="1" applyAlignment="1" applyProtection="1">
      <alignment horizontal="center"/>
    </xf>
    <xf numFmtId="3" fontId="33" fillId="15" borderId="35" xfId="4" applyNumberFormat="1" applyFont="1" applyBorder="1" applyAlignment="1" applyProtection="1">
      <alignment horizontal="center"/>
    </xf>
    <xf numFmtId="3" fontId="30" fillId="11" borderId="29" xfId="3" applyNumberFormat="1" applyFont="1" applyBorder="1" applyAlignment="1" applyProtection="1">
      <alignment horizontal="center"/>
    </xf>
    <xf numFmtId="0" fontId="43" fillId="13" borderId="0" xfId="0" applyFont="1" applyFill="1" applyAlignment="1" applyProtection="1">
      <alignment vertical="center"/>
    </xf>
    <xf numFmtId="0" fontId="43" fillId="0" borderId="0" xfId="0" applyFont="1" applyAlignment="1" applyProtection="1">
      <alignment vertical="center"/>
    </xf>
    <xf numFmtId="170" fontId="33" fillId="15" borderId="35" xfId="4" applyNumberFormat="1" applyFont="1" applyBorder="1" applyAlignment="1" applyProtection="1">
      <alignment horizontal="center"/>
    </xf>
    <xf numFmtId="0" fontId="44" fillId="13" borderId="19" xfId="0" applyFont="1" applyFill="1" applyBorder="1" applyProtection="1"/>
    <xf numFmtId="0" fontId="44" fillId="13" borderId="11" xfId="0" applyFont="1" applyFill="1" applyBorder="1" applyProtection="1"/>
    <xf numFmtId="170" fontId="33" fillId="15" borderId="42" xfId="4" applyNumberFormat="1" applyFont="1" applyBorder="1" applyAlignment="1" applyProtection="1">
      <alignment horizontal="center"/>
    </xf>
    <xf numFmtId="0" fontId="46" fillId="13" borderId="19" xfId="0" applyFont="1" applyFill="1" applyBorder="1" applyProtection="1"/>
    <xf numFmtId="0" fontId="19" fillId="13" borderId="14" xfId="0" applyFont="1" applyFill="1" applyBorder="1" applyAlignment="1" applyProtection="1">
      <alignment horizontal="left" indent="1"/>
    </xf>
    <xf numFmtId="0" fontId="34" fillId="13" borderId="0" xfId="0" applyFont="1" applyFill="1" applyBorder="1" applyProtection="1"/>
    <xf numFmtId="171" fontId="26" fillId="14" borderId="0" xfId="2" applyNumberFormat="1" applyFont="1" applyFill="1" applyBorder="1" applyAlignment="1" applyProtection="1">
      <alignment horizontal="center"/>
    </xf>
    <xf numFmtId="0" fontId="30" fillId="13" borderId="0" xfId="0" applyFont="1" applyFill="1" applyBorder="1" applyAlignment="1" applyProtection="1">
      <alignment horizontal="center"/>
    </xf>
    <xf numFmtId="171" fontId="30" fillId="13" borderId="0" xfId="2" applyNumberFormat="1" applyFont="1" applyFill="1" applyBorder="1" applyAlignment="1" applyProtection="1">
      <alignment horizontal="center"/>
    </xf>
    <xf numFmtId="0" fontId="36" fillId="13" borderId="24" xfId="0" applyFont="1" applyFill="1" applyBorder="1" applyProtection="1"/>
    <xf numFmtId="0" fontId="36" fillId="13" borderId="24" xfId="0" applyFont="1" applyFill="1" applyBorder="1" applyAlignment="1" applyProtection="1">
      <alignment vertical="center"/>
    </xf>
    <xf numFmtId="0" fontId="19" fillId="13" borderId="0" xfId="0" applyFont="1" applyFill="1" applyBorder="1" applyProtection="1"/>
    <xf numFmtId="0" fontId="32" fillId="13" borderId="0" xfId="0" applyFont="1" applyFill="1" applyBorder="1" applyProtection="1"/>
    <xf numFmtId="0" fontId="35" fillId="13" borderId="0" xfId="0" applyFont="1" applyFill="1" applyBorder="1" applyProtection="1"/>
    <xf numFmtId="0" fontId="19" fillId="0" borderId="0" xfId="0" applyFont="1" applyBorder="1" applyProtection="1"/>
    <xf numFmtId="0" fontId="28" fillId="14" borderId="47" xfId="0" applyFont="1" applyFill="1" applyBorder="1" applyAlignment="1" applyProtection="1">
      <alignment vertical="center"/>
    </xf>
    <xf numFmtId="3" fontId="30" fillId="11" borderId="25" xfId="3" applyNumberFormat="1" applyFont="1" applyBorder="1" applyAlignment="1" applyProtection="1">
      <alignment horizontal="center"/>
    </xf>
    <xf numFmtId="0" fontId="35" fillId="13" borderId="48" xfId="0" applyFont="1" applyFill="1" applyBorder="1" applyProtection="1"/>
    <xf numFmtId="3" fontId="33" fillId="15" borderId="1" xfId="4" applyNumberFormat="1" applyFont="1" applyBorder="1" applyAlignment="1" applyProtection="1">
      <alignment horizontal="center"/>
    </xf>
    <xf numFmtId="171" fontId="36" fillId="17" borderId="26" xfId="2" applyNumberFormat="1" applyFont="1" applyFill="1" applyBorder="1" applyAlignment="1" applyProtection="1">
      <alignment vertical="center"/>
    </xf>
    <xf numFmtId="0" fontId="36" fillId="17" borderId="28" xfId="0" applyFont="1" applyFill="1" applyBorder="1" applyAlignment="1" applyProtection="1">
      <alignment horizontal="center" vertical="center"/>
    </xf>
    <xf numFmtId="172" fontId="47" fillId="17" borderId="26" xfId="2" applyNumberFormat="1" applyFont="1" applyFill="1" applyBorder="1" applyAlignment="1" applyProtection="1">
      <alignment horizontal="center" vertical="center"/>
    </xf>
    <xf numFmtId="0" fontId="47" fillId="17" borderId="28" xfId="0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42" fillId="13" borderId="0" xfId="0" applyFont="1" applyFill="1" applyAlignment="1">
      <alignment horizontal="left" vertical="center" indent="1"/>
    </xf>
    <xf numFmtId="0" fontId="42" fillId="13" borderId="0" xfId="0" applyFont="1" applyFill="1" applyAlignment="1">
      <alignment horizontal="left" vertical="center"/>
    </xf>
    <xf numFmtId="0" fontId="19" fillId="13" borderId="52" xfId="0" applyFont="1" applyFill="1" applyBorder="1" applyProtection="1"/>
    <xf numFmtId="172" fontId="47" fillId="13" borderId="53" xfId="2" applyNumberFormat="1" applyFont="1" applyFill="1" applyBorder="1" applyAlignment="1" applyProtection="1">
      <alignment vertical="center"/>
    </xf>
    <xf numFmtId="169" fontId="47" fillId="13" borderId="54" xfId="2" applyNumberFormat="1" applyFont="1" applyFill="1" applyBorder="1" applyAlignment="1" applyProtection="1">
      <alignment horizontal="center" vertical="center"/>
    </xf>
    <xf numFmtId="0" fontId="47" fillId="13" borderId="55" xfId="0" applyFont="1" applyFill="1" applyBorder="1" applyAlignment="1" applyProtection="1">
      <alignment horizontal="left" vertical="center"/>
    </xf>
    <xf numFmtId="0" fontId="29" fillId="13" borderId="0" xfId="0" applyFont="1" applyFill="1" applyBorder="1" applyProtection="1"/>
    <xf numFmtId="0" fontId="25" fillId="13" borderId="0" xfId="0" applyFont="1" applyFill="1" applyBorder="1" applyProtection="1"/>
    <xf numFmtId="0" fontId="22" fillId="0" borderId="0" xfId="0" applyFont="1" applyProtection="1"/>
    <xf numFmtId="0" fontId="22" fillId="0" borderId="0" xfId="0" applyFont="1" applyFill="1" applyProtection="1"/>
    <xf numFmtId="0" fontId="49" fillId="0" borderId="0" xfId="0" applyFont="1" applyAlignment="1" applyProtection="1">
      <alignment vertical="center"/>
    </xf>
    <xf numFmtId="0" fontId="50" fillId="0" borderId="0" xfId="0" applyFont="1" applyProtection="1"/>
    <xf numFmtId="172" fontId="50" fillId="0" borderId="0" xfId="0" applyNumberFormat="1" applyFont="1" applyProtection="1"/>
    <xf numFmtId="170" fontId="50" fillId="0" borderId="0" xfId="0" applyNumberFormat="1" applyFont="1" applyProtection="1"/>
    <xf numFmtId="0" fontId="22" fillId="0" borderId="0" xfId="0" applyFont="1" applyBorder="1" applyProtection="1"/>
    <xf numFmtId="0" fontId="22" fillId="0" borderId="0" xfId="0" applyFont="1" applyFill="1" applyBorder="1" applyProtection="1"/>
    <xf numFmtId="0" fontId="19" fillId="0" borderId="0" xfId="0" applyFont="1" applyFill="1" applyBorder="1" applyProtection="1"/>
    <xf numFmtId="0" fontId="49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51" fillId="0" borderId="0" xfId="0" applyFont="1" applyBorder="1"/>
    <xf numFmtId="0" fontId="50" fillId="0" borderId="0" xfId="0" applyFont="1" applyBorder="1"/>
    <xf numFmtId="9" fontId="50" fillId="0" borderId="0" xfId="0" applyNumberFormat="1" applyFont="1" applyBorder="1"/>
    <xf numFmtId="0" fontId="39" fillId="12" borderId="49" xfId="0" applyFont="1" applyFill="1" applyBorder="1" applyAlignment="1" applyProtection="1">
      <alignment horizontal="left" vertical="center"/>
    </xf>
    <xf numFmtId="0" fontId="39" fillId="12" borderId="50" xfId="0" applyFont="1" applyFill="1" applyBorder="1" applyAlignment="1" applyProtection="1">
      <alignment horizontal="left" vertical="center"/>
    </xf>
    <xf numFmtId="0" fontId="39" fillId="12" borderId="51" xfId="0" applyFont="1" applyFill="1" applyBorder="1" applyAlignment="1" applyProtection="1">
      <alignment horizontal="left" vertical="center"/>
    </xf>
    <xf numFmtId="0" fontId="26" fillId="14" borderId="36" xfId="0" applyFont="1" applyFill="1" applyBorder="1" applyAlignment="1" applyProtection="1">
      <alignment horizontal="left" vertical="center"/>
    </xf>
    <xf numFmtId="0" fontId="19" fillId="14" borderId="39" xfId="0" applyFont="1" applyFill="1" applyBorder="1" applyAlignment="1" applyProtection="1">
      <alignment horizontal="left" vertical="center"/>
    </xf>
    <xf numFmtId="0" fontId="19" fillId="14" borderId="37" xfId="0" applyFont="1" applyFill="1" applyBorder="1" applyAlignment="1" applyProtection="1">
      <alignment horizontal="left" vertical="center"/>
    </xf>
    <xf numFmtId="0" fontId="39" fillId="16" borderId="49" xfId="0" applyFont="1" applyFill="1" applyBorder="1" applyAlignment="1" applyProtection="1">
      <alignment horizontal="center" vertical="center"/>
    </xf>
    <xf numFmtId="0" fontId="39" fillId="16" borderId="50" xfId="0" applyFont="1" applyFill="1" applyBorder="1" applyAlignment="1" applyProtection="1">
      <alignment horizontal="center" vertical="center"/>
    </xf>
    <xf numFmtId="0" fontId="39" fillId="16" borderId="51" xfId="0" applyFont="1" applyFill="1" applyBorder="1" applyAlignment="1" applyProtection="1">
      <alignment horizontal="center" vertical="center"/>
    </xf>
    <xf numFmtId="0" fontId="15" fillId="0" borderId="16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</cellXfs>
  <cellStyles count="5">
    <cellStyle name="Berekening" xfId="4" builtinId="22"/>
    <cellStyle name="Comma 2" xfId="2" xr:uid="{00000000-0005-0000-0000-000000000000}"/>
    <cellStyle name="Invoer" xfId="3" builtinId="20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364156"/>
      <color rgb="FFE9EDF4"/>
      <color rgb="FF96ACAD"/>
      <color rgb="FFF96E46"/>
      <color rgb="FFB9BDC4"/>
      <color rgb="FF57B030"/>
      <color rgb="FF086634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F96E46"/>
                </a:solidFill>
                <a:latin typeface="+mn-lt"/>
                <a:ea typeface="+mn-ea"/>
                <a:cs typeface="+mn-cs"/>
              </a:defRPr>
            </a:pPr>
            <a:r>
              <a:rPr lang="nl-BE" sz="1200" b="1">
                <a:solidFill>
                  <a:srgbClr val="F96E46"/>
                </a:solidFill>
              </a:rPr>
              <a:t>barometer auditverplichting</a:t>
            </a:r>
            <a:r>
              <a:rPr lang="nl-BE" sz="1200" b="1" baseline="0">
                <a:solidFill>
                  <a:srgbClr val="F96E46"/>
                </a:solidFill>
              </a:rPr>
              <a:t> kmo </a:t>
            </a:r>
            <a:r>
              <a:rPr lang="nl-BE" sz="1050" b="1" u="sng">
                <a:solidFill>
                  <a:srgbClr val="F96E46"/>
                </a:solidFill>
              </a:rPr>
              <a:t>vanaf</a:t>
            </a:r>
            <a:r>
              <a:rPr lang="nl-BE" sz="1050" b="1" u="sng" baseline="0">
                <a:solidFill>
                  <a:srgbClr val="F96E46"/>
                </a:solidFill>
              </a:rPr>
              <a:t> 2022</a:t>
            </a:r>
            <a:endParaRPr lang="nl-BE" sz="1050" b="1" u="sng">
              <a:solidFill>
                <a:srgbClr val="F96E4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F96E46"/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29113887937920802"/>
          <c:y val="0.1674519042010208"/>
          <c:w val="0.31900604815702382"/>
          <c:h val="0.741467343083881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'Verbruik prim CO2'!$S$8</c:f>
              <c:strCache>
                <c:ptCount val="1"/>
                <c:pt idx="0">
                  <c:v>geen verplichting</c:v>
                </c:pt>
              </c:strCache>
            </c:strRef>
          </c:tx>
          <c:spPr>
            <a:solidFill>
              <a:srgbClr val="364156"/>
            </a:solidFill>
            <a:ln>
              <a:noFill/>
            </a:ln>
            <a:effectLst/>
          </c:spPr>
          <c:invertIfNegative val="0"/>
          <c:cat>
            <c:strRef>
              <c:f>'Verbruik prim CO2'!$T$6</c:f>
              <c:strCache>
                <c:ptCount val="1"/>
                <c:pt idx="0">
                  <c:v>primair energieverbruik</c:v>
                </c:pt>
              </c:strCache>
            </c:strRef>
          </c:cat>
          <c:val>
            <c:numRef>
              <c:f>'Verbruik prim CO2'!$T$8</c:f>
              <c:numCache>
                <c:formatCode>_-* #,##0.00\ _€_-;\-* #,##0.00\ _€_-;_-* "-"??\ _€_-;_-@_-</c:formatCode>
                <c:ptCount val="1"/>
                <c:pt idx="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6-4946-B410-72D0274A937B}"/>
            </c:ext>
          </c:extLst>
        </c:ser>
        <c:ser>
          <c:idx val="2"/>
          <c:order val="2"/>
          <c:tx>
            <c:strRef>
              <c:f>'Verbruik prim CO2'!$S$9</c:f>
              <c:strCache>
                <c:ptCount val="1"/>
                <c:pt idx="0">
                  <c:v>energiebalans kmo</c:v>
                </c:pt>
              </c:strCache>
            </c:strRef>
          </c:tx>
          <c:spPr>
            <a:solidFill>
              <a:srgbClr val="96ACAD"/>
            </a:solidFill>
            <a:ln>
              <a:noFill/>
            </a:ln>
            <a:effectLst/>
          </c:spPr>
          <c:invertIfNegative val="0"/>
          <c:cat>
            <c:strRef>
              <c:f>'Verbruik prim CO2'!$T$6</c:f>
              <c:strCache>
                <c:ptCount val="1"/>
                <c:pt idx="0">
                  <c:v>primair energieverbruik</c:v>
                </c:pt>
              </c:strCache>
            </c:strRef>
          </c:cat>
          <c:val>
            <c:numRef>
              <c:f>'Verbruik prim CO2'!$T$9</c:f>
              <c:numCache>
                <c:formatCode>_-* #,##0.00\ _€_-;\-* #,##0.00\ _€_-;_-* "-"??\ _€_-;_-@_-</c:formatCode>
                <c:ptCount val="1"/>
                <c:pt idx="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6-4946-B410-72D0274A937B}"/>
            </c:ext>
          </c:extLst>
        </c:ser>
        <c:ser>
          <c:idx val="3"/>
          <c:order val="3"/>
          <c:tx>
            <c:strRef>
              <c:f>'Verbruik prim CO2'!$S$10</c:f>
              <c:strCache>
                <c:ptCount val="1"/>
                <c:pt idx="0">
                  <c:v>energie-audit kmo</c:v>
                </c:pt>
              </c:strCache>
            </c:strRef>
          </c:tx>
          <c:spPr>
            <a:solidFill>
              <a:srgbClr val="B9BDC4"/>
            </a:solidFill>
            <a:ln>
              <a:noFill/>
            </a:ln>
            <a:effectLst/>
          </c:spPr>
          <c:invertIfNegative val="0"/>
          <c:cat>
            <c:strRef>
              <c:f>'Verbruik prim CO2'!$T$6</c:f>
              <c:strCache>
                <c:ptCount val="1"/>
                <c:pt idx="0">
                  <c:v>primair energieverbruik</c:v>
                </c:pt>
              </c:strCache>
            </c:strRef>
          </c:cat>
          <c:val>
            <c:numRef>
              <c:f>'Verbruik prim CO2'!$T$10</c:f>
              <c:numCache>
                <c:formatCode>_-* #,##0.00\ _€_-;\-* #,##0.00\ _€_-;_-* "-"??\ _€_-;_-@_-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6-4946-B410-72D0274A937B}"/>
            </c:ext>
          </c:extLst>
        </c:ser>
        <c:ser>
          <c:idx val="4"/>
          <c:order val="4"/>
          <c:tx>
            <c:strRef>
              <c:f>'Verbruik prim CO2'!$S$11</c:f>
              <c:strCache>
                <c:ptCount val="1"/>
                <c:pt idx="0">
                  <c:v>energie-intensief</c:v>
                </c:pt>
              </c:strCache>
            </c:strRef>
          </c:tx>
          <c:spPr>
            <a:solidFill>
              <a:srgbClr val="E9EDF4"/>
            </a:solidFill>
            <a:ln w="25400">
              <a:noFill/>
            </a:ln>
            <a:effectLst/>
          </c:spPr>
          <c:invertIfNegative val="0"/>
          <c:cat>
            <c:strRef>
              <c:f>'Verbruik prim CO2'!$T$6</c:f>
              <c:strCache>
                <c:ptCount val="1"/>
                <c:pt idx="0">
                  <c:v>primair energieverbruik</c:v>
                </c:pt>
              </c:strCache>
            </c:strRef>
          </c:cat>
          <c:val>
            <c:numRef>
              <c:f>'Verbruik prim CO2'!$T$11</c:f>
              <c:numCache>
                <c:formatCode>_-* #,##0.00\ _€_-;\-* #,##0.00\ _€_-;_-* "-"??\ _€_-;_-@_-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6-4946-B410-72D0274A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793519"/>
        <c:axId val="484819727"/>
      </c:barChart>
      <c:scatterChart>
        <c:scatterStyle val="lineMarker"/>
        <c:varyColors val="0"/>
        <c:ser>
          <c:idx val="0"/>
          <c:order val="0"/>
          <c:tx>
            <c:strRef>
              <c:f>'Verbruik prim CO2'!$S$7</c:f>
              <c:strCache>
                <c:ptCount val="1"/>
                <c:pt idx="0">
                  <c:v>Site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96E4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'Verbruik prim CO2'!$T$6</c:f>
              <c:strCache>
                <c:ptCount val="1"/>
                <c:pt idx="0">
                  <c:v>primair energieverbruik</c:v>
                </c:pt>
              </c:strCache>
            </c:strRef>
          </c:xVal>
          <c:yVal>
            <c:numRef>
              <c:f>'Verbruik prim CO2'!$T$7</c:f>
              <c:numCache>
                <c:formatCode>_-* #,##0.000\ _€_-;\-* #,##0.000\ _€_-;_-* "-"??\ _€_-;_-@_-</c:formatCode>
                <c:ptCount val="1"/>
                <c:pt idx="0">
                  <c:v>1.8939029204000001E-2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56-4946-B410-72D0274A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93519"/>
        <c:axId val="484819727"/>
      </c:scatterChart>
      <c:catAx>
        <c:axId val="48479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64156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4819727"/>
        <c:crosses val="autoZero"/>
        <c:auto val="1"/>
        <c:lblAlgn val="ctr"/>
        <c:lblOffset val="100"/>
        <c:noMultiLvlLbl val="0"/>
      </c:catAx>
      <c:valAx>
        <c:axId val="48481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 prim</a:t>
                </a:r>
              </a:p>
            </c:rich>
          </c:tx>
          <c:layout>
            <c:manualLayout>
              <c:xMode val="edge"/>
              <c:yMode val="edge"/>
              <c:x val="4.4185400737951235E-2"/>
              <c:y val="0.44727059852812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479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3965267121162"/>
          <c:y val="0.14516847054895524"/>
          <c:w val="0.34665459149874639"/>
          <c:h val="0.76855587397865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364156"/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1119438</xdr:colOff>
      <xdr:row>7</xdr:row>
      <xdr:rowOff>44399</xdr:rowOff>
    </xdr:from>
    <xdr:to>
      <xdr:col>1</xdr:col>
      <xdr:colOff>2704775</xdr:colOff>
      <xdr:row>9</xdr:row>
      <xdr:rowOff>45720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E1E5DAB-C8C4-4516-849A-7185701EE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698" y="1027379"/>
          <a:ext cx="1585337" cy="397561"/>
        </a:xfrm>
        <a:prstGeom prst="rect">
          <a:avLst/>
        </a:prstGeom>
      </xdr:spPr>
    </xdr:pic>
    <xdr:clientData/>
  </xdr:twoCellAnchor>
  <xdr:twoCellAnchor>
    <xdr:from>
      <xdr:col>12</xdr:col>
      <xdr:colOff>107004</xdr:colOff>
      <xdr:row>6</xdr:row>
      <xdr:rowOff>0</xdr:rowOff>
    </xdr:from>
    <xdr:to>
      <xdr:col>16</xdr:col>
      <xdr:colOff>0</xdr:colOff>
      <xdr:row>24</xdr:row>
      <xdr:rowOff>210766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81F1BD46-EF58-46DD-ACF4-3C8DE42B9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1DD6-1075-4281-AA3F-FFB2A388C31A}">
  <dimension ref="A1:AA106"/>
  <sheetViews>
    <sheetView tabSelected="1" zoomScaleNormal="100" workbookViewId="0">
      <selection activeCell="C10" sqref="C10"/>
    </sheetView>
  </sheetViews>
  <sheetFormatPr defaultRowHeight="13.2" x14ac:dyDescent="0.25"/>
  <cols>
    <col min="1" max="1" width="2.5546875" style="86" customWidth="1"/>
    <col min="2" max="2" width="40.44140625" style="86" customWidth="1"/>
    <col min="3" max="3" width="13.6640625" style="86" customWidth="1"/>
    <col min="4" max="4" width="11.109375" style="86" customWidth="1"/>
    <col min="5" max="5" width="0.6640625" style="86" customWidth="1"/>
    <col min="6" max="6" width="28.33203125" style="86" hidden="1" customWidth="1"/>
    <col min="7" max="7" width="13.6640625" style="86" customWidth="1"/>
    <col min="8" max="8" width="11.109375" style="86" customWidth="1"/>
    <col min="9" max="9" width="0.77734375" style="86" customWidth="1"/>
    <col min="10" max="10" width="32" style="86" hidden="1" customWidth="1"/>
    <col min="11" max="11" width="13.6640625" style="86" customWidth="1"/>
    <col min="12" max="12" width="11.109375" style="86" customWidth="1"/>
    <col min="13" max="13" width="1.5546875" style="86" customWidth="1"/>
    <col min="14" max="15" width="13.88671875" style="86" customWidth="1"/>
    <col min="16" max="16" width="10.5546875" style="86" customWidth="1"/>
    <col min="17" max="17" width="1.5546875" style="86" customWidth="1"/>
    <col min="18" max="18" width="8.88671875" style="86"/>
    <col min="19" max="20" width="8.88671875" style="182"/>
    <col min="21" max="25" width="8.88671875" style="188"/>
    <col min="26" max="27" width="8.88671875" style="164"/>
    <col min="28" max="16384" width="8.88671875" style="86"/>
  </cols>
  <sheetData>
    <row r="1" spans="1:27" ht="16.8" customHeight="1" x14ac:dyDescent="0.25">
      <c r="A1" s="142"/>
      <c r="B1" s="143" t="s">
        <v>194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27" s="173" customFormat="1" ht="4.2" customHeight="1" x14ac:dyDescent="0.25">
      <c r="A2" s="174"/>
      <c r="B2" s="175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83"/>
      <c r="T2" s="183"/>
      <c r="U2" s="189"/>
      <c r="V2" s="189"/>
      <c r="W2" s="189"/>
      <c r="X2" s="189"/>
      <c r="Y2" s="189"/>
      <c r="Z2" s="190"/>
      <c r="AA2" s="190"/>
    </row>
    <row r="3" spans="1:27" s="148" customFormat="1" ht="21.6" customHeight="1" x14ac:dyDescent="0.3">
      <c r="A3" s="147"/>
      <c r="B3" s="147" t="s">
        <v>193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S3" s="184"/>
      <c r="T3" s="184"/>
      <c r="U3" s="191"/>
      <c r="V3" s="191"/>
      <c r="W3" s="191"/>
      <c r="X3" s="191"/>
      <c r="Y3" s="191"/>
      <c r="Z3" s="192"/>
      <c r="AA3" s="192"/>
    </row>
    <row r="4" spans="1:27" ht="3.6" customHeight="1" thickBo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27" ht="16.2" thickBot="1" x14ac:dyDescent="0.3">
      <c r="A5" s="85"/>
      <c r="B5" s="196" t="s">
        <v>191</v>
      </c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85"/>
      <c r="N5" s="177" t="s">
        <v>209</v>
      </c>
      <c r="O5" s="178">
        <f>G27</f>
        <v>1.8939029204000001E-2</v>
      </c>
      <c r="P5" s="179" t="s">
        <v>202</v>
      </c>
      <c r="Q5" s="85"/>
    </row>
    <row r="6" spans="1:27" ht="3.6" customHeight="1" thickBot="1" x14ac:dyDescent="0.3">
      <c r="A6" s="85"/>
      <c r="B6" s="85"/>
      <c r="C6" s="85"/>
      <c r="D6" s="87"/>
      <c r="E6" s="181"/>
      <c r="F6" s="88"/>
      <c r="G6" s="88"/>
      <c r="H6" s="88"/>
      <c r="I6" s="181"/>
      <c r="J6" s="88"/>
      <c r="K6" s="88"/>
      <c r="L6" s="88"/>
      <c r="M6" s="85"/>
      <c r="N6" s="85"/>
      <c r="O6" s="85"/>
      <c r="P6" s="85"/>
      <c r="Q6" s="85"/>
      <c r="S6" s="185"/>
      <c r="T6" s="185" t="s">
        <v>207</v>
      </c>
    </row>
    <row r="7" spans="1:27" ht="16.2" customHeight="1" thickBot="1" x14ac:dyDescent="0.3">
      <c r="A7" s="85"/>
      <c r="B7" s="89"/>
      <c r="C7" s="90"/>
      <c r="D7" s="91" t="s">
        <v>168</v>
      </c>
      <c r="E7" s="180"/>
      <c r="F7" s="165"/>
      <c r="G7" s="92"/>
      <c r="H7" s="93" t="s">
        <v>169</v>
      </c>
      <c r="I7" s="180"/>
      <c r="J7" s="165"/>
      <c r="K7" s="94"/>
      <c r="L7" s="95" t="s">
        <v>179</v>
      </c>
      <c r="M7" s="85"/>
      <c r="N7" s="85"/>
      <c r="O7" s="85"/>
      <c r="P7" s="85"/>
      <c r="Q7" s="85"/>
      <c r="S7" s="185" t="s">
        <v>203</v>
      </c>
      <c r="T7" s="186">
        <f>G27</f>
        <v>1.8939029204000001E-2</v>
      </c>
      <c r="V7" s="193" t="s">
        <v>198</v>
      </c>
      <c r="W7" s="194"/>
      <c r="X7" s="194"/>
    </row>
    <row r="8" spans="1:27" ht="15.6" x14ac:dyDescent="0.35">
      <c r="A8" s="85"/>
      <c r="B8" s="96" t="s">
        <v>170</v>
      </c>
      <c r="C8" s="146">
        <v>1000</v>
      </c>
      <c r="D8" s="97" t="s">
        <v>180</v>
      </c>
      <c r="E8" s="162"/>
      <c r="F8" s="99" t="s">
        <v>170</v>
      </c>
      <c r="G8" s="144">
        <f>C8*3.6/0.4</f>
        <v>9000</v>
      </c>
      <c r="H8" s="97" t="s">
        <v>181</v>
      </c>
      <c r="I8" s="162"/>
      <c r="J8" s="99" t="s">
        <v>170</v>
      </c>
      <c r="K8" s="144">
        <f>G8*400/9/1000</f>
        <v>400</v>
      </c>
      <c r="L8" s="100" t="s">
        <v>182</v>
      </c>
      <c r="M8" s="85"/>
      <c r="N8" s="85"/>
      <c r="O8" s="85"/>
      <c r="P8" s="85"/>
      <c r="Q8" s="85"/>
      <c r="S8" s="185" t="s">
        <v>208</v>
      </c>
      <c r="T8" s="187">
        <v>0.03</v>
      </c>
      <c r="V8" s="194" t="s">
        <v>199</v>
      </c>
      <c r="W8" s="194">
        <v>9.94</v>
      </c>
      <c r="X8" s="194" t="s">
        <v>200</v>
      </c>
    </row>
    <row r="9" spans="1:27" ht="15.6" x14ac:dyDescent="0.35">
      <c r="A9" s="85"/>
      <c r="B9" s="96" t="s">
        <v>174</v>
      </c>
      <c r="C9" s="166">
        <v>1000</v>
      </c>
      <c r="D9" s="97" t="s">
        <v>183</v>
      </c>
      <c r="E9" s="162"/>
      <c r="F9" s="99" t="s">
        <v>174</v>
      </c>
      <c r="G9" s="145">
        <f>C9*3.6</f>
        <v>3600</v>
      </c>
      <c r="H9" s="97" t="s">
        <v>181</v>
      </c>
      <c r="I9" s="162"/>
      <c r="J9" s="99" t="s">
        <v>174</v>
      </c>
      <c r="K9" s="145">
        <f>G9*55.82/1000</f>
        <v>200.952</v>
      </c>
      <c r="L9" s="97" t="s">
        <v>182</v>
      </c>
      <c r="M9" s="85"/>
      <c r="N9" s="85"/>
      <c r="O9" s="85"/>
      <c r="P9" s="85"/>
      <c r="Q9" s="85"/>
      <c r="S9" s="185" t="s">
        <v>205</v>
      </c>
      <c r="T9" s="187">
        <v>0.02</v>
      </c>
      <c r="V9" s="194" t="s">
        <v>201</v>
      </c>
      <c r="W9" s="195">
        <v>0.6</v>
      </c>
      <c r="X9" s="194"/>
    </row>
    <row r="10" spans="1:27" ht="15.6" x14ac:dyDescent="0.35">
      <c r="A10" s="85"/>
      <c r="B10" s="96" t="s">
        <v>174</v>
      </c>
      <c r="C10" s="166">
        <v>1000</v>
      </c>
      <c r="D10" s="97" t="s">
        <v>184</v>
      </c>
      <c r="E10" s="162"/>
      <c r="F10" s="99" t="s">
        <v>174</v>
      </c>
      <c r="G10" s="145">
        <f>C10*3.6*0.903</f>
        <v>3250.8</v>
      </c>
      <c r="H10" s="97" t="s">
        <v>181</v>
      </c>
      <c r="I10" s="162"/>
      <c r="J10" s="99" t="s">
        <v>174</v>
      </c>
      <c r="K10" s="145">
        <f>G10*55.82/1000</f>
        <v>181.45965600000002</v>
      </c>
      <c r="L10" s="97" t="s">
        <v>182</v>
      </c>
      <c r="M10" s="85"/>
      <c r="N10" s="85"/>
      <c r="O10" s="85"/>
      <c r="P10" s="85"/>
      <c r="Q10" s="85"/>
      <c r="S10" s="185" t="s">
        <v>206</v>
      </c>
      <c r="T10" s="187">
        <v>0.05</v>
      </c>
    </row>
    <row r="11" spans="1:27" ht="15.6" x14ac:dyDescent="0.35">
      <c r="A11" s="85"/>
      <c r="B11" s="96" t="s">
        <v>175</v>
      </c>
      <c r="C11" s="166">
        <v>10</v>
      </c>
      <c r="D11" s="97" t="s">
        <v>14</v>
      </c>
      <c r="E11" s="162"/>
      <c r="F11" s="99" t="s">
        <v>175</v>
      </c>
      <c r="G11" s="145">
        <f>C11*35.93715</f>
        <v>359.37150000000003</v>
      </c>
      <c r="H11" s="97" t="s">
        <v>181</v>
      </c>
      <c r="I11" s="162"/>
      <c r="J11" s="99" t="s">
        <v>175</v>
      </c>
      <c r="K11" s="145">
        <f>G11*74.1/1000</f>
        <v>26.629428149999999</v>
      </c>
      <c r="L11" s="97" t="s">
        <v>182</v>
      </c>
      <c r="M11" s="85"/>
      <c r="N11" s="85"/>
      <c r="O11" s="85"/>
      <c r="P11" s="85"/>
      <c r="Q11" s="85"/>
      <c r="S11" s="185" t="s">
        <v>204</v>
      </c>
      <c r="T11" s="187">
        <f>IF(G27&gt;0.1,G27+0.05,T10)</f>
        <v>0.05</v>
      </c>
    </row>
    <row r="12" spans="1:27" ht="15.6" x14ac:dyDescent="0.35">
      <c r="A12" s="85"/>
      <c r="B12" s="96" t="s">
        <v>176</v>
      </c>
      <c r="C12" s="166">
        <v>10</v>
      </c>
      <c r="D12" s="97" t="s">
        <v>14</v>
      </c>
      <c r="E12" s="162"/>
      <c r="F12" s="99" t="s">
        <v>176</v>
      </c>
      <c r="G12" s="145">
        <f>C12*35.93715</f>
        <v>359.37150000000003</v>
      </c>
      <c r="H12" s="97" t="s">
        <v>181</v>
      </c>
      <c r="I12" s="162"/>
      <c r="J12" s="99" t="s">
        <v>176</v>
      </c>
      <c r="K12" s="145">
        <f>G12*74.1/1000</f>
        <v>26.629428149999999</v>
      </c>
      <c r="L12" s="97" t="s">
        <v>182</v>
      </c>
      <c r="M12" s="85"/>
      <c r="N12" s="85"/>
      <c r="O12" s="85"/>
      <c r="P12" s="85"/>
      <c r="Q12" s="85"/>
    </row>
    <row r="13" spans="1:27" ht="15.6" x14ac:dyDescent="0.35">
      <c r="A13" s="85"/>
      <c r="B13" s="96" t="s">
        <v>177</v>
      </c>
      <c r="C13" s="166">
        <v>10</v>
      </c>
      <c r="D13" s="97" t="s">
        <v>14</v>
      </c>
      <c r="E13" s="162"/>
      <c r="F13" s="99" t="s">
        <v>177</v>
      </c>
      <c r="G13" s="145">
        <f>C13*33.4465</f>
        <v>334.46500000000003</v>
      </c>
      <c r="H13" s="97" t="s">
        <v>181</v>
      </c>
      <c r="I13" s="162"/>
      <c r="J13" s="99" t="s">
        <v>177</v>
      </c>
      <c r="K13" s="145">
        <f>G13*69.3/1000</f>
        <v>23.178424500000002</v>
      </c>
      <c r="L13" s="97" t="s">
        <v>182</v>
      </c>
      <c r="M13" s="85"/>
      <c r="N13" s="85"/>
      <c r="O13" s="85"/>
      <c r="P13" s="85"/>
      <c r="Q13" s="85"/>
    </row>
    <row r="14" spans="1:27" ht="15.6" x14ac:dyDescent="0.35">
      <c r="A14" s="85"/>
      <c r="B14" s="96" t="s">
        <v>79</v>
      </c>
      <c r="C14" s="166">
        <v>10</v>
      </c>
      <c r="D14" s="97" t="s">
        <v>14</v>
      </c>
      <c r="E14" s="162"/>
      <c r="F14" s="99" t="s">
        <v>79</v>
      </c>
      <c r="G14" s="145">
        <f>C14*25.27195</f>
        <v>252.71950000000001</v>
      </c>
      <c r="H14" s="97" t="s">
        <v>181</v>
      </c>
      <c r="I14" s="162"/>
      <c r="J14" s="99" t="s">
        <v>79</v>
      </c>
      <c r="K14" s="145">
        <f>G14*63.1/1000</f>
        <v>15.946600450000002</v>
      </c>
      <c r="L14" s="97" t="s">
        <v>182</v>
      </c>
      <c r="M14" s="85"/>
      <c r="N14" s="85"/>
      <c r="O14" s="85"/>
      <c r="P14" s="85"/>
      <c r="Q14" s="85"/>
    </row>
    <row r="15" spans="1:27" ht="15.6" x14ac:dyDescent="0.35">
      <c r="A15" s="85"/>
      <c r="B15" s="96" t="s">
        <v>178</v>
      </c>
      <c r="C15" s="166">
        <v>10</v>
      </c>
      <c r="D15" s="97" t="s">
        <v>8</v>
      </c>
      <c r="E15" s="162"/>
      <c r="F15" s="99" t="s">
        <v>178</v>
      </c>
      <c r="G15" s="145">
        <f>C15*20.7</f>
        <v>207</v>
      </c>
      <c r="H15" s="97" t="s">
        <v>181</v>
      </c>
      <c r="I15" s="162"/>
      <c r="J15" s="99" t="s">
        <v>178</v>
      </c>
      <c r="K15" s="145">
        <f>G15*97.5/1000</f>
        <v>20.182500000000001</v>
      </c>
      <c r="L15" s="97" t="s">
        <v>182</v>
      </c>
      <c r="M15" s="85"/>
      <c r="N15" s="85"/>
      <c r="O15" s="85"/>
      <c r="P15" s="85"/>
      <c r="Q15" s="85"/>
    </row>
    <row r="16" spans="1:27" ht="15.6" x14ac:dyDescent="0.35">
      <c r="A16" s="85"/>
      <c r="B16" s="96" t="s">
        <v>171</v>
      </c>
      <c r="C16" s="166">
        <v>10</v>
      </c>
      <c r="D16" s="97" t="s">
        <v>8</v>
      </c>
      <c r="E16" s="162"/>
      <c r="F16" s="99" t="s">
        <v>171</v>
      </c>
      <c r="G16" s="145">
        <f>C16*45.733</f>
        <v>457.33</v>
      </c>
      <c r="H16" s="97" t="s">
        <v>181</v>
      </c>
      <c r="I16" s="162"/>
      <c r="J16" s="99" t="s">
        <v>171</v>
      </c>
      <c r="K16" s="145">
        <f t="shared" ref="K16:K17" si="0">G16*63.1/1000</f>
        <v>28.857523</v>
      </c>
      <c r="L16" s="97" t="s">
        <v>182</v>
      </c>
      <c r="M16" s="85"/>
      <c r="N16" s="85"/>
      <c r="O16" s="85"/>
      <c r="P16" s="85"/>
      <c r="Q16" s="85"/>
    </row>
    <row r="17" spans="1:25" ht="15.6" x14ac:dyDescent="0.35">
      <c r="A17" s="85"/>
      <c r="B17" s="96" t="s">
        <v>171</v>
      </c>
      <c r="C17" s="166">
        <v>10</v>
      </c>
      <c r="D17" s="97" t="s">
        <v>14</v>
      </c>
      <c r="E17" s="162"/>
      <c r="F17" s="99" t="s">
        <v>171</v>
      </c>
      <c r="G17" s="145">
        <f>C17*26.7345</f>
        <v>267.34500000000003</v>
      </c>
      <c r="H17" s="97" t="s">
        <v>181</v>
      </c>
      <c r="I17" s="162"/>
      <c r="J17" s="99" t="s">
        <v>171</v>
      </c>
      <c r="K17" s="145">
        <f t="shared" si="0"/>
        <v>16.869469500000005</v>
      </c>
      <c r="L17" s="97" t="s">
        <v>182</v>
      </c>
      <c r="M17" s="85"/>
      <c r="N17" s="85"/>
      <c r="O17" s="85"/>
      <c r="P17" s="85"/>
      <c r="Q17" s="85"/>
    </row>
    <row r="18" spans="1:25" ht="15.6" x14ac:dyDescent="0.35">
      <c r="A18" s="85"/>
      <c r="B18" s="96" t="s">
        <v>172</v>
      </c>
      <c r="C18" s="166">
        <v>10</v>
      </c>
      <c r="D18" s="97" t="s">
        <v>8</v>
      </c>
      <c r="E18" s="162"/>
      <c r="F18" s="99" t="s">
        <v>172</v>
      </c>
      <c r="G18" s="145">
        <f>C18*46.14</f>
        <v>461.4</v>
      </c>
      <c r="H18" s="97" t="s">
        <v>181</v>
      </c>
      <c r="I18" s="162"/>
      <c r="J18" s="99" t="s">
        <v>172</v>
      </c>
      <c r="K18" s="145">
        <f>G18*63.1/1000</f>
        <v>29.114339999999999</v>
      </c>
      <c r="L18" s="97" t="s">
        <v>182</v>
      </c>
      <c r="M18" s="85"/>
      <c r="N18" s="85"/>
      <c r="O18" s="85"/>
      <c r="P18" s="85"/>
      <c r="Q18" s="85"/>
    </row>
    <row r="19" spans="1:25" ht="15.6" x14ac:dyDescent="0.35">
      <c r="A19" s="85"/>
      <c r="B19" s="96" t="s">
        <v>172</v>
      </c>
      <c r="C19" s="166">
        <v>10</v>
      </c>
      <c r="D19" s="97" t="s">
        <v>14</v>
      </c>
      <c r="E19" s="162"/>
      <c r="F19" s="99" t="s">
        <v>172</v>
      </c>
      <c r="G19" s="145">
        <f>C19*24.3012</f>
        <v>243.012</v>
      </c>
      <c r="H19" s="97" t="s">
        <v>181</v>
      </c>
      <c r="I19" s="162"/>
      <c r="J19" s="99" t="s">
        <v>172</v>
      </c>
      <c r="K19" s="145">
        <f t="shared" ref="K19" si="1">G19*63.1/1000</f>
        <v>15.334057200000002</v>
      </c>
      <c r="L19" s="97" t="s">
        <v>182</v>
      </c>
      <c r="M19" s="85"/>
      <c r="N19" s="85"/>
      <c r="O19" s="85"/>
      <c r="P19" s="85"/>
      <c r="Q19" s="85"/>
    </row>
    <row r="20" spans="1:25" ht="15.6" x14ac:dyDescent="0.35">
      <c r="A20" s="85"/>
      <c r="B20" s="96" t="s">
        <v>195</v>
      </c>
      <c r="C20" s="166">
        <v>10</v>
      </c>
      <c r="D20" s="97" t="s">
        <v>8</v>
      </c>
      <c r="E20" s="162"/>
      <c r="F20" s="99"/>
      <c r="G20" s="145">
        <f>C20*14.6</f>
        <v>146</v>
      </c>
      <c r="H20" s="97" t="s">
        <v>181</v>
      </c>
      <c r="I20" s="162"/>
      <c r="J20" s="99"/>
      <c r="K20" s="145">
        <f>G20*0</f>
        <v>0</v>
      </c>
      <c r="L20" s="97" t="s">
        <v>182</v>
      </c>
      <c r="M20" s="85"/>
      <c r="N20" s="85"/>
      <c r="O20" s="85"/>
      <c r="P20" s="85"/>
      <c r="Q20" s="85"/>
    </row>
    <row r="21" spans="1:25" ht="15.6" hidden="1" x14ac:dyDescent="0.35">
      <c r="A21" s="85"/>
      <c r="B21" s="153" t="s">
        <v>197</v>
      </c>
      <c r="C21" s="166">
        <v>10</v>
      </c>
      <c r="D21" s="97" t="s">
        <v>14</v>
      </c>
      <c r="E21" s="162"/>
      <c r="F21" s="99"/>
      <c r="G21" s="145">
        <f>C21*(W8*W9)/1000*3.6</f>
        <v>0.21470399999999998</v>
      </c>
      <c r="H21" s="97" t="s">
        <v>181</v>
      </c>
      <c r="I21" s="162"/>
      <c r="J21" s="99"/>
      <c r="K21" s="145">
        <f t="shared" ref="K21" si="2">G21*0</f>
        <v>0</v>
      </c>
      <c r="L21" s="97" t="s">
        <v>182</v>
      </c>
      <c r="M21" s="85"/>
      <c r="N21" s="85"/>
      <c r="O21" s="85"/>
      <c r="P21" s="85"/>
      <c r="Q21" s="85"/>
    </row>
    <row r="22" spans="1:25" ht="13.8" hidden="1" x14ac:dyDescent="0.25">
      <c r="A22" s="85"/>
      <c r="B22" s="153"/>
      <c r="C22" s="166"/>
      <c r="D22" s="97"/>
      <c r="E22" s="162"/>
      <c r="F22" s="99"/>
      <c r="G22" s="145"/>
      <c r="H22" s="97"/>
      <c r="I22" s="162"/>
      <c r="J22" s="99"/>
      <c r="K22" s="145"/>
      <c r="L22" s="97"/>
      <c r="M22" s="85"/>
      <c r="N22" s="85"/>
      <c r="O22" s="85"/>
      <c r="P22" s="85"/>
      <c r="Q22" s="85"/>
    </row>
    <row r="23" spans="1:25" ht="14.4" thickBot="1" x14ac:dyDescent="0.3">
      <c r="A23" s="85"/>
      <c r="B23" s="110"/>
      <c r="C23" s="111"/>
      <c r="D23" s="112"/>
      <c r="E23" s="162"/>
      <c r="F23" s="167"/>
      <c r="G23" s="113"/>
      <c r="H23" s="112"/>
      <c r="I23" s="162"/>
      <c r="J23" s="167"/>
      <c r="K23" s="113"/>
      <c r="L23" s="112"/>
      <c r="M23" s="85"/>
      <c r="N23" s="85"/>
      <c r="O23" s="85"/>
      <c r="P23" s="85"/>
      <c r="Q23" s="85"/>
    </row>
    <row r="24" spans="1:25" s="164" customFormat="1" ht="4.2" customHeight="1" thickBot="1" x14ac:dyDescent="0.3">
      <c r="A24" s="161"/>
      <c r="B24" s="155"/>
      <c r="C24" s="156"/>
      <c r="D24" s="157"/>
      <c r="E24" s="162"/>
      <c r="F24" s="163"/>
      <c r="G24" s="158"/>
      <c r="H24" s="157"/>
      <c r="I24" s="162"/>
      <c r="J24" s="163"/>
      <c r="K24" s="158"/>
      <c r="L24" s="157"/>
      <c r="M24" s="161"/>
      <c r="N24" s="85"/>
      <c r="O24" s="85"/>
      <c r="P24" s="85"/>
      <c r="Q24" s="161"/>
      <c r="S24" s="188"/>
      <c r="T24" s="188"/>
      <c r="U24" s="188"/>
      <c r="V24" s="188"/>
      <c r="W24" s="188"/>
      <c r="X24" s="188"/>
      <c r="Y24" s="188"/>
    </row>
    <row r="25" spans="1:25" ht="16.8" customHeight="1" thickBot="1" x14ac:dyDescent="0.3">
      <c r="A25" s="85"/>
      <c r="B25" s="202" t="s">
        <v>210</v>
      </c>
      <c r="C25" s="203"/>
      <c r="D25" s="204"/>
      <c r="E25" s="98"/>
      <c r="F25" s="159" t="s">
        <v>173</v>
      </c>
      <c r="G25" s="169">
        <f>SUM(G8:G23)</f>
        <v>18939.029204000002</v>
      </c>
      <c r="H25" s="170" t="s">
        <v>185</v>
      </c>
      <c r="I25" s="114"/>
      <c r="J25" s="160" t="s">
        <v>173</v>
      </c>
      <c r="K25" s="169">
        <f>SUM(K8:K23)</f>
        <v>985.15342694999993</v>
      </c>
      <c r="L25" s="170" t="s">
        <v>186</v>
      </c>
      <c r="M25" s="85"/>
      <c r="N25" s="85"/>
      <c r="O25" s="85"/>
      <c r="P25" s="85"/>
      <c r="Q25" s="85"/>
    </row>
    <row r="26" spans="1:25" ht="6" customHeight="1" thickBot="1" x14ac:dyDescent="0.3">
      <c r="A26" s="85"/>
      <c r="B26" s="101"/>
      <c r="C26" s="102"/>
      <c r="D26" s="103"/>
      <c r="E26" s="88"/>
      <c r="F26" s="115" t="s">
        <v>173</v>
      </c>
      <c r="G26" s="85"/>
      <c r="H26" s="85"/>
      <c r="I26" s="116"/>
      <c r="J26" s="116"/>
      <c r="K26" s="116"/>
      <c r="L26" s="116"/>
      <c r="M26" s="85"/>
      <c r="N26" s="85"/>
      <c r="O26" s="85"/>
      <c r="P26" s="85"/>
      <c r="Q26" s="85"/>
    </row>
    <row r="27" spans="1:25" ht="16.8" customHeight="1" thickBot="1" x14ac:dyDescent="0.3">
      <c r="A27" s="85"/>
      <c r="B27" s="154" t="s">
        <v>189</v>
      </c>
      <c r="C27" s="166">
        <v>1000</v>
      </c>
      <c r="D27" s="105"/>
      <c r="E27" s="85"/>
      <c r="F27" s="85"/>
      <c r="G27" s="171">
        <f>G25/1000/1000</f>
        <v>1.8939029204000001E-2</v>
      </c>
      <c r="H27" s="172" t="s">
        <v>202</v>
      </c>
      <c r="I27" s="85"/>
      <c r="J27" s="85"/>
      <c r="K27" s="85"/>
      <c r="L27" s="85"/>
      <c r="M27" s="85"/>
      <c r="N27" s="85"/>
      <c r="O27" s="85"/>
      <c r="P27" s="85"/>
      <c r="Q27" s="85"/>
    </row>
    <row r="28" spans="1:25" ht="6.6" customHeight="1" x14ac:dyDescent="0.25">
      <c r="A28" s="85"/>
      <c r="B28" s="106"/>
      <c r="C28" s="102"/>
      <c r="D28" s="10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25" ht="16.8" customHeight="1" x14ac:dyDescent="0.25">
      <c r="A29" s="85"/>
      <c r="B29" s="154" t="s">
        <v>190</v>
      </c>
      <c r="C29" s="168">
        <v>1000</v>
      </c>
      <c r="D29" s="10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25" ht="4.8" customHeight="1" x14ac:dyDescent="0.25">
      <c r="A30" s="85"/>
      <c r="B30" s="107"/>
      <c r="C30" s="108"/>
      <c r="D30" s="10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25" ht="4.8" customHeight="1" x14ac:dyDescent="0.25">
      <c r="A31" s="85"/>
      <c r="B31" s="161"/>
      <c r="C31" s="161"/>
      <c r="D31" s="161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25" x14ac:dyDescent="0.25">
      <c r="A32" s="8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61"/>
    </row>
    <row r="33" spans="1:17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4.2" customHeight="1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5.6" x14ac:dyDescent="0.25">
      <c r="A35" s="85"/>
      <c r="B35" s="119" t="s">
        <v>196</v>
      </c>
      <c r="C35" s="117"/>
      <c r="D35" s="118"/>
      <c r="E35" s="119"/>
      <c r="F35" s="117"/>
      <c r="G35" s="118"/>
      <c r="H35" s="119"/>
      <c r="I35" s="117"/>
      <c r="J35" s="118"/>
      <c r="K35" s="119"/>
      <c r="L35" s="117"/>
      <c r="M35" s="85"/>
      <c r="N35" s="85"/>
      <c r="O35" s="85"/>
      <c r="P35" s="85"/>
      <c r="Q35" s="85"/>
    </row>
    <row r="36" spans="1:17" ht="2.4" customHeight="1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2.4" customHeight="1" thickBot="1" x14ac:dyDescent="0.3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31.8" thickBot="1" x14ac:dyDescent="0.3">
      <c r="A38" s="85"/>
      <c r="B38" s="199" t="s">
        <v>0</v>
      </c>
      <c r="C38" s="200"/>
      <c r="D38" s="201" t="s">
        <v>1</v>
      </c>
      <c r="E38" s="85"/>
      <c r="F38" s="120"/>
      <c r="G38" s="127"/>
      <c r="H38" s="128" t="s">
        <v>169</v>
      </c>
      <c r="I38" s="85"/>
      <c r="J38" s="120"/>
      <c r="K38" s="127"/>
      <c r="L38" s="131" t="s">
        <v>179</v>
      </c>
      <c r="M38" s="85"/>
      <c r="N38" s="132" t="s">
        <v>88</v>
      </c>
      <c r="O38" s="133" t="s">
        <v>192</v>
      </c>
      <c r="P38" s="85"/>
      <c r="Q38" s="85"/>
    </row>
    <row r="39" spans="1:17" ht="15.6" x14ac:dyDescent="0.35">
      <c r="A39" s="85"/>
      <c r="B39" s="96" t="s">
        <v>3</v>
      </c>
      <c r="C39" s="121">
        <v>1</v>
      </c>
      <c r="D39" s="122" t="s">
        <v>4</v>
      </c>
      <c r="E39" s="85"/>
      <c r="F39" s="123" t="s">
        <v>3</v>
      </c>
      <c r="G39" s="104">
        <f>C39*N39</f>
        <v>3.2508000000000004</v>
      </c>
      <c r="H39" s="129" t="s">
        <v>187</v>
      </c>
      <c r="I39" s="85"/>
      <c r="J39" s="123" t="s">
        <v>3</v>
      </c>
      <c r="K39" s="149">
        <f>G39*O39/1000</f>
        <v>0.18236988000000001</v>
      </c>
      <c r="L39" s="129" t="s">
        <v>188</v>
      </c>
      <c r="M39" s="85"/>
      <c r="N39" s="134">
        <v>3.2508000000000004</v>
      </c>
      <c r="O39" s="135">
        <v>56.1</v>
      </c>
      <c r="P39" s="85"/>
      <c r="Q39" s="85"/>
    </row>
    <row r="40" spans="1:17" ht="15.6" x14ac:dyDescent="0.35">
      <c r="A40" s="85"/>
      <c r="B40" s="96" t="s">
        <v>5</v>
      </c>
      <c r="C40" s="121">
        <v>1</v>
      </c>
      <c r="D40" s="122" t="s">
        <v>6</v>
      </c>
      <c r="E40" s="85"/>
      <c r="F40" s="123" t="s">
        <v>5</v>
      </c>
      <c r="G40" s="104">
        <f t="shared" ref="G40:G103" si="3">C40*N40</f>
        <v>3.6</v>
      </c>
      <c r="H40" s="122" t="s">
        <v>187</v>
      </c>
      <c r="I40" s="85"/>
      <c r="J40" s="123" t="s">
        <v>5</v>
      </c>
      <c r="K40" s="149">
        <f t="shared" ref="K40:K103" si="4">G40*O40/1000</f>
        <v>0.20196</v>
      </c>
      <c r="L40" s="122" t="s">
        <v>188</v>
      </c>
      <c r="M40" s="85"/>
      <c r="N40" s="134">
        <v>3.6</v>
      </c>
      <c r="O40" s="135">
        <v>56.1</v>
      </c>
      <c r="P40" s="85"/>
      <c r="Q40" s="85"/>
    </row>
    <row r="41" spans="1:17" ht="15.6" x14ac:dyDescent="0.35">
      <c r="A41" s="85"/>
      <c r="B41" s="96" t="s">
        <v>7</v>
      </c>
      <c r="C41" s="121">
        <v>1</v>
      </c>
      <c r="D41" s="122" t="s">
        <v>8</v>
      </c>
      <c r="E41" s="85"/>
      <c r="F41" s="123" t="s">
        <v>7</v>
      </c>
      <c r="G41" s="104">
        <f t="shared" si="3"/>
        <v>44.2</v>
      </c>
      <c r="H41" s="122" t="s">
        <v>187</v>
      </c>
      <c r="I41" s="85"/>
      <c r="J41" s="123" t="s">
        <v>7</v>
      </c>
      <c r="K41" s="149">
        <f t="shared" si="4"/>
        <v>2.8376400000000004</v>
      </c>
      <c r="L41" s="122" t="s">
        <v>188</v>
      </c>
      <c r="M41" s="85"/>
      <c r="N41" s="134">
        <v>44.2</v>
      </c>
      <c r="O41" s="135">
        <v>64.2</v>
      </c>
      <c r="P41" s="85"/>
      <c r="Q41" s="85"/>
    </row>
    <row r="42" spans="1:17" ht="15.6" x14ac:dyDescent="0.35">
      <c r="A42" s="85"/>
      <c r="B42" s="96" t="s">
        <v>9</v>
      </c>
      <c r="C42" s="121">
        <v>1</v>
      </c>
      <c r="D42" s="122" t="s">
        <v>8</v>
      </c>
      <c r="E42" s="85"/>
      <c r="F42" s="123" t="s">
        <v>9</v>
      </c>
      <c r="G42" s="104">
        <f t="shared" si="3"/>
        <v>40.200000000000003</v>
      </c>
      <c r="H42" s="122" t="s">
        <v>187</v>
      </c>
      <c r="I42" s="85"/>
      <c r="J42" s="123" t="s">
        <v>9</v>
      </c>
      <c r="K42" s="149">
        <f t="shared" si="4"/>
        <v>2.9466600000000005</v>
      </c>
      <c r="L42" s="122" t="s">
        <v>188</v>
      </c>
      <c r="M42" s="85"/>
      <c r="N42" s="134">
        <v>40.200000000000003</v>
      </c>
      <c r="O42" s="135">
        <v>73.3</v>
      </c>
      <c r="P42" s="85"/>
      <c r="Q42" s="85"/>
    </row>
    <row r="43" spans="1:17" ht="15.6" x14ac:dyDescent="0.35">
      <c r="A43" s="85"/>
      <c r="B43" s="96" t="s">
        <v>10</v>
      </c>
      <c r="C43" s="121">
        <v>1</v>
      </c>
      <c r="D43" s="122" t="s">
        <v>8</v>
      </c>
      <c r="E43" s="85"/>
      <c r="F43" s="123" t="s">
        <v>10</v>
      </c>
      <c r="G43" s="104">
        <f t="shared" si="3"/>
        <v>40.200000000000003</v>
      </c>
      <c r="H43" s="122" t="s">
        <v>187</v>
      </c>
      <c r="I43" s="85"/>
      <c r="J43" s="123" t="s">
        <v>10</v>
      </c>
      <c r="K43" s="149">
        <f t="shared" si="4"/>
        <v>2.9466600000000005</v>
      </c>
      <c r="L43" s="122" t="s">
        <v>188</v>
      </c>
      <c r="M43" s="85"/>
      <c r="N43" s="134">
        <v>40.200000000000003</v>
      </c>
      <c r="O43" s="135">
        <v>73.3</v>
      </c>
      <c r="P43" s="85"/>
      <c r="Q43" s="85"/>
    </row>
    <row r="44" spans="1:17" ht="15.6" x14ac:dyDescent="0.35">
      <c r="A44" s="85"/>
      <c r="B44" s="96" t="s">
        <v>11</v>
      </c>
      <c r="C44" s="121">
        <v>1</v>
      </c>
      <c r="D44" s="122" t="s">
        <v>8</v>
      </c>
      <c r="E44" s="85"/>
      <c r="F44" s="123" t="s">
        <v>11</v>
      </c>
      <c r="G44" s="104">
        <f t="shared" si="3"/>
        <v>25.8</v>
      </c>
      <c r="H44" s="122" t="s">
        <v>187</v>
      </c>
      <c r="I44" s="85"/>
      <c r="J44" s="123" t="s">
        <v>11</v>
      </c>
      <c r="K44" s="149">
        <f t="shared" si="4"/>
        <v>2.44068</v>
      </c>
      <c r="L44" s="122" t="s">
        <v>188</v>
      </c>
      <c r="M44" s="85"/>
      <c r="N44" s="134">
        <v>25.8</v>
      </c>
      <c r="O44" s="135">
        <v>94.6</v>
      </c>
      <c r="P44" s="85"/>
      <c r="Q44" s="85"/>
    </row>
    <row r="45" spans="1:17" ht="15.6" x14ac:dyDescent="0.35">
      <c r="A45" s="85"/>
      <c r="B45" s="96" t="s">
        <v>12</v>
      </c>
      <c r="C45" s="121">
        <v>1</v>
      </c>
      <c r="D45" s="122" t="s">
        <v>8</v>
      </c>
      <c r="E45" s="85"/>
      <c r="F45" s="123" t="s">
        <v>12</v>
      </c>
      <c r="G45" s="104">
        <f t="shared" si="3"/>
        <v>26.7</v>
      </c>
      <c r="H45" s="122" t="s">
        <v>187</v>
      </c>
      <c r="I45" s="85"/>
      <c r="J45" s="123" t="s">
        <v>12</v>
      </c>
      <c r="K45" s="149">
        <f t="shared" si="4"/>
        <v>2.6246099999999997</v>
      </c>
      <c r="L45" s="122" t="s">
        <v>188</v>
      </c>
      <c r="M45" s="85"/>
      <c r="N45" s="134">
        <v>26.7</v>
      </c>
      <c r="O45" s="135">
        <v>98.3</v>
      </c>
      <c r="P45" s="85"/>
      <c r="Q45" s="85"/>
    </row>
    <row r="46" spans="1:17" ht="15.6" x14ac:dyDescent="0.35">
      <c r="A46" s="85"/>
      <c r="B46" s="150" t="s">
        <v>13</v>
      </c>
      <c r="C46" s="121">
        <v>1</v>
      </c>
      <c r="D46" s="122" t="s">
        <v>14</v>
      </c>
      <c r="E46" s="85"/>
      <c r="F46" s="123" t="s">
        <v>13</v>
      </c>
      <c r="G46" s="104">
        <f t="shared" si="3"/>
        <v>27</v>
      </c>
      <c r="H46" s="122" t="s">
        <v>187</v>
      </c>
      <c r="I46" s="85"/>
      <c r="J46" s="123" t="s">
        <v>13</v>
      </c>
      <c r="K46" s="149">
        <f t="shared" si="4"/>
        <v>0</v>
      </c>
      <c r="L46" s="122" t="s">
        <v>188</v>
      </c>
      <c r="M46" s="85"/>
      <c r="N46" s="134">
        <v>27</v>
      </c>
      <c r="O46" s="135">
        <v>0</v>
      </c>
      <c r="P46" s="85"/>
      <c r="Q46" s="85"/>
    </row>
    <row r="47" spans="1:17" ht="15.6" x14ac:dyDescent="0.35">
      <c r="A47" s="85"/>
      <c r="B47" s="150" t="s">
        <v>15</v>
      </c>
      <c r="C47" s="121">
        <v>1</v>
      </c>
      <c r="D47" s="122" t="s">
        <v>14</v>
      </c>
      <c r="E47" s="85"/>
      <c r="F47" s="123" t="s">
        <v>15</v>
      </c>
      <c r="G47" s="104">
        <f t="shared" si="3"/>
        <v>27</v>
      </c>
      <c r="H47" s="122" t="s">
        <v>187</v>
      </c>
      <c r="I47" s="85"/>
      <c r="J47" s="123" t="s">
        <v>15</v>
      </c>
      <c r="K47" s="149">
        <f t="shared" si="4"/>
        <v>0</v>
      </c>
      <c r="L47" s="122" t="s">
        <v>188</v>
      </c>
      <c r="M47" s="85"/>
      <c r="N47" s="134">
        <v>27</v>
      </c>
      <c r="O47" s="135">
        <v>0</v>
      </c>
      <c r="P47" s="85"/>
      <c r="Q47" s="85"/>
    </row>
    <row r="48" spans="1:17" ht="15.6" x14ac:dyDescent="0.35">
      <c r="A48" s="85"/>
      <c r="B48" s="150" t="s">
        <v>16</v>
      </c>
      <c r="C48" s="121">
        <v>1</v>
      </c>
      <c r="D48" s="122" t="s">
        <v>17</v>
      </c>
      <c r="E48" s="85"/>
      <c r="F48" s="123" t="s">
        <v>16</v>
      </c>
      <c r="G48" s="104">
        <f t="shared" si="3"/>
        <v>2.844E-2</v>
      </c>
      <c r="H48" s="122" t="s">
        <v>187</v>
      </c>
      <c r="I48" s="85"/>
      <c r="J48" s="123" t="s">
        <v>16</v>
      </c>
      <c r="K48" s="149">
        <f t="shared" si="4"/>
        <v>0</v>
      </c>
      <c r="L48" s="122" t="s">
        <v>188</v>
      </c>
      <c r="M48" s="85"/>
      <c r="N48" s="134">
        <v>2.844E-2</v>
      </c>
      <c r="O48" s="135">
        <v>0</v>
      </c>
      <c r="P48" s="85"/>
      <c r="Q48" s="85"/>
    </row>
    <row r="49" spans="1:17" ht="15.6" x14ac:dyDescent="0.35">
      <c r="A49" s="85"/>
      <c r="B49" s="150" t="s">
        <v>18</v>
      </c>
      <c r="C49" s="121">
        <v>1</v>
      </c>
      <c r="D49" s="122" t="s">
        <v>8</v>
      </c>
      <c r="E49" s="85"/>
      <c r="F49" s="123" t="s">
        <v>18</v>
      </c>
      <c r="G49" s="104">
        <f t="shared" si="3"/>
        <v>14.6</v>
      </c>
      <c r="H49" s="122" t="s">
        <v>187</v>
      </c>
      <c r="I49" s="85"/>
      <c r="J49" s="123" t="s">
        <v>18</v>
      </c>
      <c r="K49" s="149">
        <f t="shared" si="4"/>
        <v>0</v>
      </c>
      <c r="L49" s="122" t="s">
        <v>188</v>
      </c>
      <c r="M49" s="85"/>
      <c r="N49" s="134">
        <v>14.6</v>
      </c>
      <c r="O49" s="135">
        <v>0</v>
      </c>
      <c r="P49" s="85"/>
      <c r="Q49" s="85"/>
    </row>
    <row r="50" spans="1:17" ht="15.6" x14ac:dyDescent="0.35">
      <c r="A50" s="85"/>
      <c r="B50" s="96" t="s">
        <v>19</v>
      </c>
      <c r="C50" s="121">
        <v>1</v>
      </c>
      <c r="D50" s="122" t="s">
        <v>8</v>
      </c>
      <c r="E50" s="85"/>
      <c r="F50" s="123" t="s">
        <v>19</v>
      </c>
      <c r="G50" s="104">
        <f t="shared" si="3"/>
        <v>40.200000000000003</v>
      </c>
      <c r="H50" s="122" t="s">
        <v>187</v>
      </c>
      <c r="I50" s="85"/>
      <c r="J50" s="123" t="s">
        <v>19</v>
      </c>
      <c r="K50" s="149">
        <f t="shared" si="4"/>
        <v>3.2441400000000002</v>
      </c>
      <c r="L50" s="122" t="s">
        <v>188</v>
      </c>
      <c r="M50" s="85"/>
      <c r="N50" s="134">
        <v>40.200000000000003</v>
      </c>
      <c r="O50" s="135">
        <v>80.7</v>
      </c>
      <c r="P50" s="85"/>
      <c r="Q50" s="85"/>
    </row>
    <row r="51" spans="1:17" ht="15.6" x14ac:dyDescent="0.35">
      <c r="A51" s="85"/>
      <c r="B51" s="96" t="s">
        <v>20</v>
      </c>
      <c r="C51" s="121">
        <v>1</v>
      </c>
      <c r="D51" s="122" t="s">
        <v>8</v>
      </c>
      <c r="E51" s="85"/>
      <c r="F51" s="123" t="s">
        <v>20</v>
      </c>
      <c r="G51" s="104">
        <f t="shared" si="3"/>
        <v>8.9</v>
      </c>
      <c r="H51" s="122" t="s">
        <v>187</v>
      </c>
      <c r="I51" s="85"/>
      <c r="J51" s="123" t="s">
        <v>20</v>
      </c>
      <c r="K51" s="149">
        <f t="shared" si="4"/>
        <v>0.95230000000000004</v>
      </c>
      <c r="L51" s="122" t="s">
        <v>188</v>
      </c>
      <c r="M51" s="85"/>
      <c r="N51" s="134">
        <v>8.9</v>
      </c>
      <c r="O51" s="135">
        <v>107</v>
      </c>
      <c r="P51" s="85"/>
      <c r="Q51" s="85"/>
    </row>
    <row r="52" spans="1:17" ht="15.6" x14ac:dyDescent="0.35">
      <c r="A52" s="85"/>
      <c r="B52" s="96" t="s">
        <v>21</v>
      </c>
      <c r="C52" s="121">
        <v>1</v>
      </c>
      <c r="D52" s="122" t="s">
        <v>8</v>
      </c>
      <c r="E52" s="85"/>
      <c r="F52" s="123" t="s">
        <v>21</v>
      </c>
      <c r="G52" s="104">
        <f t="shared" si="3"/>
        <v>45.7</v>
      </c>
      <c r="H52" s="122" t="s">
        <v>187</v>
      </c>
      <c r="I52" s="85"/>
      <c r="J52" s="123" t="s">
        <v>21</v>
      </c>
      <c r="K52" s="149">
        <f t="shared" si="4"/>
        <v>2.88367</v>
      </c>
      <c r="L52" s="122" t="s">
        <v>188</v>
      </c>
      <c r="M52" s="85"/>
      <c r="N52" s="136">
        <v>45.7</v>
      </c>
      <c r="O52" s="135">
        <v>63.1</v>
      </c>
      <c r="P52" s="85"/>
      <c r="Q52" s="85"/>
    </row>
    <row r="53" spans="1:17" ht="15.6" x14ac:dyDescent="0.35">
      <c r="A53" s="85"/>
      <c r="B53" s="96" t="s">
        <v>22</v>
      </c>
      <c r="C53" s="121">
        <v>1</v>
      </c>
      <c r="D53" s="122" t="s">
        <v>14</v>
      </c>
      <c r="E53" s="85"/>
      <c r="F53" s="123" t="s">
        <v>22</v>
      </c>
      <c r="G53" s="104">
        <f t="shared" si="3"/>
        <v>26.734500000000001</v>
      </c>
      <c r="H53" s="122" t="s">
        <v>187</v>
      </c>
      <c r="I53" s="85"/>
      <c r="J53" s="123" t="s">
        <v>22</v>
      </c>
      <c r="K53" s="149">
        <f t="shared" si="4"/>
        <v>1.6869469500000001</v>
      </c>
      <c r="L53" s="122" t="s">
        <v>188</v>
      </c>
      <c r="M53" s="85"/>
      <c r="N53" s="134">
        <v>26.734500000000001</v>
      </c>
      <c r="O53" s="135">
        <v>63.1</v>
      </c>
      <c r="P53" s="85"/>
      <c r="Q53" s="85"/>
    </row>
    <row r="54" spans="1:17" ht="15.6" x14ac:dyDescent="0.35">
      <c r="A54" s="85"/>
      <c r="B54" s="96" t="s">
        <v>23</v>
      </c>
      <c r="C54" s="121">
        <v>1</v>
      </c>
      <c r="D54" s="122" t="s">
        <v>8</v>
      </c>
      <c r="E54" s="85"/>
      <c r="F54" s="123" t="s">
        <v>23</v>
      </c>
      <c r="G54" s="104">
        <f t="shared" si="3"/>
        <v>28.2</v>
      </c>
      <c r="H54" s="122" t="s">
        <v>187</v>
      </c>
      <c r="I54" s="85"/>
      <c r="J54" s="123" t="s">
        <v>23</v>
      </c>
      <c r="K54" s="149">
        <f t="shared" si="4"/>
        <v>2.6677199999999996</v>
      </c>
      <c r="L54" s="122" t="s">
        <v>188</v>
      </c>
      <c r="M54" s="85"/>
      <c r="N54" s="134">
        <v>28.2</v>
      </c>
      <c r="O54" s="135">
        <v>94.6</v>
      </c>
      <c r="P54" s="85"/>
      <c r="Q54" s="85"/>
    </row>
    <row r="55" spans="1:17" ht="15.6" x14ac:dyDescent="0.35">
      <c r="A55" s="85"/>
      <c r="B55" s="96" t="s">
        <v>24</v>
      </c>
      <c r="C55" s="121">
        <v>1</v>
      </c>
      <c r="D55" s="122" t="s">
        <v>8</v>
      </c>
      <c r="E55" s="85"/>
      <c r="F55" s="123" t="s">
        <v>24</v>
      </c>
      <c r="G55" s="104">
        <f t="shared" si="3"/>
        <v>28.2</v>
      </c>
      <c r="H55" s="122" t="s">
        <v>187</v>
      </c>
      <c r="I55" s="85"/>
      <c r="J55" s="123" t="s">
        <v>24</v>
      </c>
      <c r="K55" s="149">
        <f t="shared" si="4"/>
        <v>3.0174000000000003</v>
      </c>
      <c r="L55" s="122" t="s">
        <v>188</v>
      </c>
      <c r="M55" s="85"/>
      <c r="N55" s="134">
        <v>28.2</v>
      </c>
      <c r="O55" s="135">
        <v>107</v>
      </c>
      <c r="P55" s="85"/>
      <c r="Q55" s="85"/>
    </row>
    <row r="56" spans="1:17" ht="15.6" x14ac:dyDescent="0.35">
      <c r="A56" s="85"/>
      <c r="B56" s="96" t="s">
        <v>25</v>
      </c>
      <c r="C56" s="121">
        <v>1</v>
      </c>
      <c r="D56" s="122" t="s">
        <v>8</v>
      </c>
      <c r="E56" s="85"/>
      <c r="F56" s="123" t="s">
        <v>25</v>
      </c>
      <c r="G56" s="104">
        <f t="shared" si="3"/>
        <v>38.700000000000003</v>
      </c>
      <c r="H56" s="122" t="s">
        <v>187</v>
      </c>
      <c r="I56" s="85"/>
      <c r="J56" s="123" t="s">
        <v>25</v>
      </c>
      <c r="K56" s="149">
        <f t="shared" si="4"/>
        <v>1.71828</v>
      </c>
      <c r="L56" s="122" t="s">
        <v>188</v>
      </c>
      <c r="M56" s="85"/>
      <c r="N56" s="134">
        <v>38.700000000000003</v>
      </c>
      <c r="O56" s="135">
        <v>44.4</v>
      </c>
      <c r="P56" s="85"/>
      <c r="Q56" s="85"/>
    </row>
    <row r="57" spans="1:17" ht="15.6" x14ac:dyDescent="0.35">
      <c r="A57" s="85"/>
      <c r="B57" s="96" t="s">
        <v>26</v>
      </c>
      <c r="C57" s="121">
        <v>1</v>
      </c>
      <c r="D57" s="122" t="s">
        <v>27</v>
      </c>
      <c r="E57" s="85"/>
      <c r="F57" s="123" t="s">
        <v>26</v>
      </c>
      <c r="G57" s="104">
        <f t="shared" si="3"/>
        <v>9</v>
      </c>
      <c r="H57" s="122" t="s">
        <v>187</v>
      </c>
      <c r="I57" s="85"/>
      <c r="J57" s="123" t="s">
        <v>26</v>
      </c>
      <c r="K57" s="149">
        <f t="shared" si="4"/>
        <v>0.4</v>
      </c>
      <c r="L57" s="122" t="s">
        <v>188</v>
      </c>
      <c r="M57" s="85"/>
      <c r="N57" s="134">
        <v>9</v>
      </c>
      <c r="O57" s="137">
        <v>44.444444444444443</v>
      </c>
      <c r="P57" s="85"/>
      <c r="Q57" s="85"/>
    </row>
    <row r="58" spans="1:17" ht="15.6" x14ac:dyDescent="0.35">
      <c r="A58" s="85"/>
      <c r="B58" s="96" t="s">
        <v>28</v>
      </c>
      <c r="C58" s="121">
        <v>1</v>
      </c>
      <c r="D58" s="122" t="s">
        <v>8</v>
      </c>
      <c r="E58" s="85"/>
      <c r="F58" s="123" t="s">
        <v>28</v>
      </c>
      <c r="G58" s="104">
        <f t="shared" si="3"/>
        <v>46.4</v>
      </c>
      <c r="H58" s="122" t="s">
        <v>187</v>
      </c>
      <c r="I58" s="85"/>
      <c r="J58" s="123" t="s">
        <v>28</v>
      </c>
      <c r="K58" s="149">
        <f t="shared" si="4"/>
        <v>2.8582399999999999</v>
      </c>
      <c r="L58" s="122" t="s">
        <v>188</v>
      </c>
      <c r="M58" s="85"/>
      <c r="N58" s="134">
        <v>46.4</v>
      </c>
      <c r="O58" s="135">
        <v>61.6</v>
      </c>
      <c r="P58" s="85"/>
      <c r="Q58" s="85"/>
    </row>
    <row r="59" spans="1:17" ht="15.6" x14ac:dyDescent="0.35">
      <c r="A59" s="85"/>
      <c r="B59" s="96" t="s">
        <v>29</v>
      </c>
      <c r="C59" s="121">
        <v>1</v>
      </c>
      <c r="D59" s="122" t="s">
        <v>8</v>
      </c>
      <c r="E59" s="85"/>
      <c r="F59" s="123" t="s">
        <v>29</v>
      </c>
      <c r="G59" s="104">
        <f t="shared" si="3"/>
        <v>38.700000000000003</v>
      </c>
      <c r="H59" s="122" t="s">
        <v>187</v>
      </c>
      <c r="I59" s="85"/>
      <c r="J59" s="123" t="s">
        <v>29</v>
      </c>
      <c r="K59" s="149">
        <f t="shared" si="4"/>
        <v>1.71828</v>
      </c>
      <c r="L59" s="122" t="s">
        <v>188</v>
      </c>
      <c r="M59" s="85"/>
      <c r="N59" s="134">
        <v>38.700000000000003</v>
      </c>
      <c r="O59" s="135">
        <v>44.4</v>
      </c>
      <c r="P59" s="85"/>
      <c r="Q59" s="85"/>
    </row>
    <row r="60" spans="1:17" ht="15.6" x14ac:dyDescent="0.35">
      <c r="A60" s="85"/>
      <c r="B60" s="96" t="s">
        <v>30</v>
      </c>
      <c r="C60" s="121">
        <v>1</v>
      </c>
      <c r="D60" s="122" t="s">
        <v>8</v>
      </c>
      <c r="E60" s="85"/>
      <c r="F60" s="123" t="s">
        <v>30</v>
      </c>
      <c r="G60" s="104">
        <f t="shared" si="3"/>
        <v>14.6</v>
      </c>
      <c r="H60" s="122" t="s">
        <v>187</v>
      </c>
      <c r="I60" s="85"/>
      <c r="J60" s="123" t="s">
        <v>30</v>
      </c>
      <c r="K60" s="149">
        <f t="shared" si="4"/>
        <v>8.0410000000000008E-4</v>
      </c>
      <c r="L60" s="122" t="s">
        <v>188</v>
      </c>
      <c r="M60" s="85"/>
      <c r="N60" s="134">
        <v>14.6</v>
      </c>
      <c r="O60" s="138">
        <v>5.5075342465753428E-2</v>
      </c>
      <c r="P60" s="85"/>
      <c r="Q60" s="85"/>
    </row>
    <row r="61" spans="1:17" ht="15.6" x14ac:dyDescent="0.35">
      <c r="A61" s="85"/>
      <c r="B61" s="96" t="s">
        <v>31</v>
      </c>
      <c r="C61" s="121">
        <v>1</v>
      </c>
      <c r="D61" s="122" t="s">
        <v>8</v>
      </c>
      <c r="E61" s="85"/>
      <c r="F61" s="123" t="s">
        <v>31</v>
      </c>
      <c r="G61" s="104">
        <f t="shared" si="3"/>
        <v>28.2</v>
      </c>
      <c r="H61" s="122" t="s">
        <v>187</v>
      </c>
      <c r="I61" s="85"/>
      <c r="J61" s="123" t="s">
        <v>31</v>
      </c>
      <c r="K61" s="149">
        <f t="shared" si="4"/>
        <v>3.0174000000000003</v>
      </c>
      <c r="L61" s="122" t="s">
        <v>188</v>
      </c>
      <c r="M61" s="85"/>
      <c r="N61" s="134">
        <v>28.2</v>
      </c>
      <c r="O61" s="135">
        <v>107</v>
      </c>
      <c r="P61" s="85"/>
      <c r="Q61" s="85"/>
    </row>
    <row r="62" spans="1:17" ht="15.6" x14ac:dyDescent="0.35">
      <c r="A62" s="85"/>
      <c r="B62" s="96" t="s">
        <v>32</v>
      </c>
      <c r="C62" s="121">
        <v>1</v>
      </c>
      <c r="D62" s="122" t="s">
        <v>14</v>
      </c>
      <c r="E62" s="85"/>
      <c r="F62" s="123" t="s">
        <v>32</v>
      </c>
      <c r="G62" s="104">
        <f t="shared" si="3"/>
        <v>35.937150000000003</v>
      </c>
      <c r="H62" s="122" t="s">
        <v>187</v>
      </c>
      <c r="I62" s="85"/>
      <c r="J62" s="123" t="s">
        <v>32</v>
      </c>
      <c r="K62" s="149">
        <f t="shared" si="4"/>
        <v>2.6629428150000001</v>
      </c>
      <c r="L62" s="122" t="s">
        <v>188</v>
      </c>
      <c r="M62" s="85"/>
      <c r="N62" s="134">
        <v>35.937150000000003</v>
      </c>
      <c r="O62" s="135">
        <v>74.099999999999994</v>
      </c>
      <c r="P62" s="85"/>
      <c r="Q62" s="85"/>
    </row>
    <row r="63" spans="1:17" ht="15.6" x14ac:dyDescent="0.35">
      <c r="A63" s="85"/>
      <c r="B63" s="96" t="s">
        <v>33</v>
      </c>
      <c r="C63" s="121">
        <v>1</v>
      </c>
      <c r="D63" s="122" t="s">
        <v>8</v>
      </c>
      <c r="E63" s="85"/>
      <c r="F63" s="123" t="s">
        <v>33</v>
      </c>
      <c r="G63" s="104">
        <f t="shared" si="3"/>
        <v>42.279000000000003</v>
      </c>
      <c r="H63" s="122" t="s">
        <v>187</v>
      </c>
      <c r="I63" s="85"/>
      <c r="J63" s="123" t="s">
        <v>33</v>
      </c>
      <c r="K63" s="149">
        <f t="shared" si="4"/>
        <v>3.1328738999999999</v>
      </c>
      <c r="L63" s="122" t="s">
        <v>188</v>
      </c>
      <c r="M63" s="85"/>
      <c r="N63" s="134">
        <v>42.279000000000003</v>
      </c>
      <c r="O63" s="135">
        <v>74.099999999999994</v>
      </c>
      <c r="P63" s="85"/>
      <c r="Q63" s="85"/>
    </row>
    <row r="64" spans="1:17" ht="15.6" x14ac:dyDescent="0.35">
      <c r="A64" s="85"/>
      <c r="B64" s="96" t="s">
        <v>34</v>
      </c>
      <c r="C64" s="121">
        <v>1</v>
      </c>
      <c r="D64" s="122" t="s">
        <v>35</v>
      </c>
      <c r="E64" s="85"/>
      <c r="F64" s="123" t="s">
        <v>34</v>
      </c>
      <c r="G64" s="104">
        <f t="shared" si="3"/>
        <v>35.937150000000003</v>
      </c>
      <c r="H64" s="122" t="s">
        <v>187</v>
      </c>
      <c r="I64" s="85"/>
      <c r="J64" s="123" t="s">
        <v>34</v>
      </c>
      <c r="K64" s="149">
        <f t="shared" si="4"/>
        <v>2.6629428150000001</v>
      </c>
      <c r="L64" s="122" t="s">
        <v>188</v>
      </c>
      <c r="M64" s="85"/>
      <c r="N64" s="134">
        <v>35.937150000000003</v>
      </c>
      <c r="O64" s="135">
        <v>74.099999999999994</v>
      </c>
      <c r="P64" s="85"/>
      <c r="Q64" s="85"/>
    </row>
    <row r="65" spans="1:17" ht="15.6" x14ac:dyDescent="0.35">
      <c r="A65" s="85"/>
      <c r="B65" s="96" t="s">
        <v>36</v>
      </c>
      <c r="C65" s="121">
        <v>1</v>
      </c>
      <c r="D65" s="122" t="s">
        <v>8</v>
      </c>
      <c r="E65" s="85"/>
      <c r="F65" s="123" t="s">
        <v>36</v>
      </c>
      <c r="G65" s="104">
        <f t="shared" si="3"/>
        <v>2.4700000000000002</v>
      </c>
      <c r="H65" s="122" t="s">
        <v>187</v>
      </c>
      <c r="I65" s="85"/>
      <c r="J65" s="123" t="s">
        <v>36</v>
      </c>
      <c r="K65" s="149">
        <f t="shared" si="4"/>
        <v>0.64219999999999999</v>
      </c>
      <c r="L65" s="122" t="s">
        <v>188</v>
      </c>
      <c r="M65" s="85"/>
      <c r="N65" s="134">
        <v>2.4700000000000002</v>
      </c>
      <c r="O65" s="135">
        <v>260</v>
      </c>
      <c r="P65" s="85"/>
      <c r="Q65" s="85"/>
    </row>
    <row r="66" spans="1:17" ht="15.6" x14ac:dyDescent="0.35">
      <c r="A66" s="85"/>
      <c r="B66" s="150" t="s">
        <v>37</v>
      </c>
      <c r="C66" s="121">
        <v>1</v>
      </c>
      <c r="D66" s="122" t="s">
        <v>8</v>
      </c>
      <c r="E66" s="85"/>
      <c r="F66" s="123" t="s">
        <v>37</v>
      </c>
      <c r="G66" s="104">
        <f t="shared" si="3"/>
        <v>15.6</v>
      </c>
      <c r="H66" s="122" t="s">
        <v>187</v>
      </c>
      <c r="I66" s="85"/>
      <c r="J66" s="123" t="s">
        <v>37</v>
      </c>
      <c r="K66" s="149">
        <f t="shared" si="4"/>
        <v>0</v>
      </c>
      <c r="L66" s="122" t="s">
        <v>188</v>
      </c>
      <c r="M66" s="85"/>
      <c r="N66" s="134">
        <v>15.6</v>
      </c>
      <c r="O66" s="135">
        <v>0</v>
      </c>
      <c r="P66" s="85"/>
      <c r="Q66" s="85"/>
    </row>
    <row r="67" spans="1:17" ht="15.6" x14ac:dyDescent="0.35">
      <c r="A67" s="85"/>
      <c r="B67" s="150" t="s">
        <v>38</v>
      </c>
      <c r="C67" s="121">
        <v>1</v>
      </c>
      <c r="D67" s="122" t="s">
        <v>8</v>
      </c>
      <c r="E67" s="85"/>
      <c r="F67" s="123" t="s">
        <v>38</v>
      </c>
      <c r="G67" s="104">
        <f t="shared" si="3"/>
        <v>29.5</v>
      </c>
      <c r="H67" s="122" t="s">
        <v>187</v>
      </c>
      <c r="I67" s="85"/>
      <c r="J67" s="123" t="s">
        <v>38</v>
      </c>
      <c r="K67" s="149">
        <f t="shared" si="4"/>
        <v>0</v>
      </c>
      <c r="L67" s="122" t="s">
        <v>188</v>
      </c>
      <c r="M67" s="85"/>
      <c r="N67" s="134">
        <v>29.5</v>
      </c>
      <c r="O67" s="135">
        <v>0</v>
      </c>
      <c r="P67" s="85"/>
      <c r="Q67" s="85"/>
    </row>
    <row r="68" spans="1:17" ht="15.6" x14ac:dyDescent="0.35">
      <c r="A68" s="85"/>
      <c r="B68" s="96" t="s">
        <v>39</v>
      </c>
      <c r="C68" s="121">
        <v>1</v>
      </c>
      <c r="D68" s="122" t="s">
        <v>14</v>
      </c>
      <c r="E68" s="85"/>
      <c r="F68" s="123" t="s">
        <v>39</v>
      </c>
      <c r="G68" s="104">
        <f t="shared" si="3"/>
        <v>34.492800000000003</v>
      </c>
      <c r="H68" s="122" t="s">
        <v>187</v>
      </c>
      <c r="I68" s="85"/>
      <c r="J68" s="123" t="s">
        <v>39</v>
      </c>
      <c r="K68" s="149">
        <f t="shared" si="4"/>
        <v>2.4800323200000003</v>
      </c>
      <c r="L68" s="122" t="s">
        <v>188</v>
      </c>
      <c r="M68" s="85"/>
      <c r="N68" s="134">
        <v>34.492800000000003</v>
      </c>
      <c r="O68" s="135">
        <v>71.900000000000006</v>
      </c>
      <c r="P68" s="85"/>
      <c r="Q68" s="85"/>
    </row>
    <row r="69" spans="1:17" ht="15.6" x14ac:dyDescent="0.35">
      <c r="A69" s="85"/>
      <c r="B69" s="96" t="s">
        <v>40</v>
      </c>
      <c r="C69" s="121">
        <v>1</v>
      </c>
      <c r="D69" s="122" t="s">
        <v>8</v>
      </c>
      <c r="E69" s="85"/>
      <c r="F69" s="123" t="s">
        <v>40</v>
      </c>
      <c r="G69" s="104">
        <f t="shared" si="3"/>
        <v>43.116</v>
      </c>
      <c r="H69" s="122" t="s">
        <v>187</v>
      </c>
      <c r="I69" s="85"/>
      <c r="J69" s="123" t="s">
        <v>40</v>
      </c>
      <c r="K69" s="149">
        <f t="shared" si="4"/>
        <v>3.1000404000000001</v>
      </c>
      <c r="L69" s="122" t="s">
        <v>188</v>
      </c>
      <c r="M69" s="85"/>
      <c r="N69" s="134">
        <v>43.116</v>
      </c>
      <c r="O69" s="135">
        <v>71.900000000000006</v>
      </c>
      <c r="P69" s="85"/>
      <c r="Q69" s="85"/>
    </row>
    <row r="70" spans="1:17" ht="15.6" x14ac:dyDescent="0.35">
      <c r="A70" s="85"/>
      <c r="B70" s="96" t="s">
        <v>41</v>
      </c>
      <c r="C70" s="121">
        <v>1</v>
      </c>
      <c r="D70" s="122" t="s">
        <v>17</v>
      </c>
      <c r="E70" s="85"/>
      <c r="F70" s="123" t="s">
        <v>41</v>
      </c>
      <c r="G70" s="104">
        <f t="shared" si="3"/>
        <v>1.2625000000000001E-2</v>
      </c>
      <c r="H70" s="122" t="s">
        <v>187</v>
      </c>
      <c r="I70" s="85"/>
      <c r="J70" s="123" t="s">
        <v>41</v>
      </c>
      <c r="K70" s="149">
        <f t="shared" si="4"/>
        <v>1.9595262499999999E-3</v>
      </c>
      <c r="L70" s="122" t="s">
        <v>188</v>
      </c>
      <c r="M70" s="85"/>
      <c r="N70" s="134">
        <v>1.2625000000000001E-2</v>
      </c>
      <c r="O70" s="135">
        <v>155.21</v>
      </c>
      <c r="P70" s="85"/>
      <c r="Q70" s="85"/>
    </row>
    <row r="71" spans="1:17" ht="15.6" x14ac:dyDescent="0.35">
      <c r="A71" s="85"/>
      <c r="B71" s="96" t="s">
        <v>42</v>
      </c>
      <c r="C71" s="121">
        <v>1</v>
      </c>
      <c r="D71" s="122" t="s">
        <v>8</v>
      </c>
      <c r="E71" s="85"/>
      <c r="F71" s="123" t="s">
        <v>42</v>
      </c>
      <c r="G71" s="104">
        <f t="shared" si="3"/>
        <v>10.1</v>
      </c>
      <c r="H71" s="122" t="s">
        <v>187</v>
      </c>
      <c r="I71" s="85"/>
      <c r="J71" s="123" t="s">
        <v>42</v>
      </c>
      <c r="K71" s="149">
        <f t="shared" si="4"/>
        <v>1.5676210000000002</v>
      </c>
      <c r="L71" s="122" t="s">
        <v>188</v>
      </c>
      <c r="M71" s="85"/>
      <c r="N71" s="134">
        <v>10.1</v>
      </c>
      <c r="O71" s="135">
        <v>155.21</v>
      </c>
      <c r="P71" s="85"/>
      <c r="Q71" s="85"/>
    </row>
    <row r="72" spans="1:17" ht="15.6" x14ac:dyDescent="0.35">
      <c r="A72" s="85"/>
      <c r="B72" s="96" t="s">
        <v>43</v>
      </c>
      <c r="C72" s="121">
        <v>1</v>
      </c>
      <c r="D72" s="122" t="s">
        <v>8</v>
      </c>
      <c r="E72" s="85"/>
      <c r="F72" s="123" t="s">
        <v>43</v>
      </c>
      <c r="G72" s="104">
        <f t="shared" si="3"/>
        <v>28</v>
      </c>
      <c r="H72" s="122" t="s">
        <v>187</v>
      </c>
      <c r="I72" s="85"/>
      <c r="J72" s="123" t="s">
        <v>43</v>
      </c>
      <c r="K72" s="149">
        <f t="shared" si="4"/>
        <v>2.2595999999999998</v>
      </c>
      <c r="L72" s="122" t="s">
        <v>188</v>
      </c>
      <c r="M72" s="85"/>
      <c r="N72" s="134">
        <v>28</v>
      </c>
      <c r="O72" s="135">
        <v>80.7</v>
      </c>
      <c r="P72" s="85"/>
      <c r="Q72" s="85"/>
    </row>
    <row r="73" spans="1:17" ht="15.6" x14ac:dyDescent="0.35">
      <c r="A73" s="85"/>
      <c r="B73" s="96" t="s">
        <v>44</v>
      </c>
      <c r="C73" s="121">
        <v>1</v>
      </c>
      <c r="D73" s="122" t="s">
        <v>8</v>
      </c>
      <c r="E73" s="85"/>
      <c r="F73" s="123" t="s">
        <v>44</v>
      </c>
      <c r="G73" s="104">
        <f t="shared" si="3"/>
        <v>34.492800000000003</v>
      </c>
      <c r="H73" s="122" t="s">
        <v>187</v>
      </c>
      <c r="I73" s="85"/>
      <c r="J73" s="123" t="s">
        <v>44</v>
      </c>
      <c r="K73" s="149">
        <f t="shared" si="4"/>
        <v>2.4800323200000003</v>
      </c>
      <c r="L73" s="122" t="s">
        <v>188</v>
      </c>
      <c r="M73" s="85"/>
      <c r="N73" s="134">
        <v>34.492800000000003</v>
      </c>
      <c r="O73" s="135">
        <v>71.900000000000006</v>
      </c>
      <c r="P73" s="85"/>
      <c r="Q73" s="85"/>
    </row>
    <row r="74" spans="1:17" ht="15.6" x14ac:dyDescent="0.35">
      <c r="A74" s="85"/>
      <c r="B74" s="96" t="s">
        <v>45</v>
      </c>
      <c r="C74" s="121">
        <v>1</v>
      </c>
      <c r="D74" s="122" t="s">
        <v>8</v>
      </c>
      <c r="E74" s="85"/>
      <c r="F74" s="123" t="s">
        <v>45</v>
      </c>
      <c r="G74" s="104">
        <f t="shared" si="3"/>
        <v>43.116</v>
      </c>
      <c r="H74" s="122" t="s">
        <v>187</v>
      </c>
      <c r="I74" s="85"/>
      <c r="J74" s="123" t="s">
        <v>45</v>
      </c>
      <c r="K74" s="149">
        <f t="shared" si="4"/>
        <v>3.1000404000000001</v>
      </c>
      <c r="L74" s="122" t="s">
        <v>188</v>
      </c>
      <c r="M74" s="85"/>
      <c r="N74" s="134">
        <v>43.116</v>
      </c>
      <c r="O74" s="135">
        <v>71.900000000000006</v>
      </c>
      <c r="P74" s="85"/>
      <c r="Q74" s="85"/>
    </row>
    <row r="75" spans="1:17" ht="15.6" x14ac:dyDescent="0.35">
      <c r="A75" s="85"/>
      <c r="B75" s="96" t="s">
        <v>46</v>
      </c>
      <c r="C75" s="121">
        <v>1</v>
      </c>
      <c r="D75" s="122" t="s">
        <v>14</v>
      </c>
      <c r="E75" s="85"/>
      <c r="F75" s="123" t="s">
        <v>46</v>
      </c>
      <c r="G75" s="104">
        <f t="shared" si="3"/>
        <v>32.384999999999998</v>
      </c>
      <c r="H75" s="122" t="s">
        <v>187</v>
      </c>
      <c r="I75" s="85"/>
      <c r="J75" s="123" t="s">
        <v>46</v>
      </c>
      <c r="K75" s="149">
        <f t="shared" si="4"/>
        <v>2.3738204999999999</v>
      </c>
      <c r="L75" s="122" t="s">
        <v>188</v>
      </c>
      <c r="M75" s="85"/>
      <c r="N75" s="134">
        <v>32.384999999999998</v>
      </c>
      <c r="O75" s="135">
        <v>73.3</v>
      </c>
      <c r="P75" s="85"/>
      <c r="Q75" s="85"/>
    </row>
    <row r="76" spans="1:17" ht="15.6" x14ac:dyDescent="0.35">
      <c r="A76" s="85"/>
      <c r="B76" s="96" t="s">
        <v>47</v>
      </c>
      <c r="C76" s="121">
        <v>1</v>
      </c>
      <c r="D76" s="122" t="s">
        <v>8</v>
      </c>
      <c r="E76" s="85"/>
      <c r="F76" s="123" t="s">
        <v>47</v>
      </c>
      <c r="G76" s="104">
        <f t="shared" si="3"/>
        <v>38.1</v>
      </c>
      <c r="H76" s="122" t="s">
        <v>187</v>
      </c>
      <c r="I76" s="85"/>
      <c r="J76" s="123" t="s">
        <v>47</v>
      </c>
      <c r="K76" s="149">
        <f t="shared" si="4"/>
        <v>2.7927300000000002</v>
      </c>
      <c r="L76" s="122" t="s">
        <v>188</v>
      </c>
      <c r="M76" s="85"/>
      <c r="N76" s="134">
        <v>38.1</v>
      </c>
      <c r="O76" s="135">
        <v>73.3</v>
      </c>
      <c r="P76" s="85"/>
      <c r="Q76" s="85"/>
    </row>
    <row r="77" spans="1:17" ht="15.6" x14ac:dyDescent="0.35">
      <c r="A77" s="85"/>
      <c r="B77" s="96" t="s">
        <v>48</v>
      </c>
      <c r="C77" s="121">
        <v>1</v>
      </c>
      <c r="D77" s="122" t="s">
        <v>8</v>
      </c>
      <c r="E77" s="85"/>
      <c r="F77" s="123" t="s">
        <v>48</v>
      </c>
      <c r="G77" s="104">
        <f t="shared" si="3"/>
        <v>11.9</v>
      </c>
      <c r="H77" s="122" t="s">
        <v>187</v>
      </c>
      <c r="I77" s="85"/>
      <c r="J77" s="123" t="s">
        <v>48</v>
      </c>
      <c r="K77" s="149">
        <f t="shared" si="4"/>
        <v>1.2019000000000002</v>
      </c>
      <c r="L77" s="122" t="s">
        <v>188</v>
      </c>
      <c r="M77" s="85"/>
      <c r="N77" s="139">
        <v>11.9</v>
      </c>
      <c r="O77" s="135">
        <v>101</v>
      </c>
      <c r="P77" s="85"/>
      <c r="Q77" s="85"/>
    </row>
    <row r="78" spans="1:17" ht="15.6" x14ac:dyDescent="0.35">
      <c r="A78" s="85"/>
      <c r="B78" s="96" t="s">
        <v>49</v>
      </c>
      <c r="C78" s="121">
        <v>1</v>
      </c>
      <c r="D78" s="122" t="s">
        <v>8</v>
      </c>
      <c r="E78" s="85"/>
      <c r="F78" s="123" t="s">
        <v>49</v>
      </c>
      <c r="G78" s="104">
        <f t="shared" si="3"/>
        <v>45.948999999999998</v>
      </c>
      <c r="H78" s="122" t="s">
        <v>187</v>
      </c>
      <c r="I78" s="85"/>
      <c r="J78" s="123" t="s">
        <v>49</v>
      </c>
      <c r="K78" s="149">
        <f t="shared" si="4"/>
        <v>2.8993818999999998</v>
      </c>
      <c r="L78" s="122" t="s">
        <v>188</v>
      </c>
      <c r="M78" s="85"/>
      <c r="N78" s="134">
        <v>45.948999999999998</v>
      </c>
      <c r="O78" s="135">
        <v>63.1</v>
      </c>
      <c r="P78" s="85"/>
      <c r="Q78" s="85"/>
    </row>
    <row r="79" spans="1:17" ht="15.6" x14ac:dyDescent="0.35">
      <c r="A79" s="85"/>
      <c r="B79" s="96" t="s">
        <v>50</v>
      </c>
      <c r="C79" s="121">
        <v>1</v>
      </c>
      <c r="D79" s="122" t="s">
        <v>14</v>
      </c>
      <c r="E79" s="85"/>
      <c r="F79" s="123" t="s">
        <v>50</v>
      </c>
      <c r="G79" s="104">
        <f t="shared" si="3"/>
        <v>25.27195</v>
      </c>
      <c r="H79" s="122" t="s">
        <v>187</v>
      </c>
      <c r="I79" s="85"/>
      <c r="J79" s="123" t="s">
        <v>50</v>
      </c>
      <c r="K79" s="149">
        <f t="shared" si="4"/>
        <v>1.5946600450000001</v>
      </c>
      <c r="L79" s="122" t="s">
        <v>188</v>
      </c>
      <c r="M79" s="85"/>
      <c r="N79" s="134">
        <v>25.27195</v>
      </c>
      <c r="O79" s="135">
        <v>63.1</v>
      </c>
      <c r="P79" s="85"/>
      <c r="Q79" s="85"/>
    </row>
    <row r="80" spans="1:17" ht="15.6" x14ac:dyDescent="0.35">
      <c r="A80" s="85"/>
      <c r="B80" s="96" t="s">
        <v>51</v>
      </c>
      <c r="C80" s="121">
        <v>1</v>
      </c>
      <c r="D80" s="122" t="s">
        <v>8</v>
      </c>
      <c r="E80" s="85"/>
      <c r="F80" s="123" t="s">
        <v>51</v>
      </c>
      <c r="G80" s="104">
        <f t="shared" si="3"/>
        <v>50</v>
      </c>
      <c r="H80" s="122" t="s">
        <v>187</v>
      </c>
      <c r="I80" s="85"/>
      <c r="J80" s="123" t="s">
        <v>51</v>
      </c>
      <c r="K80" s="149">
        <f t="shared" si="4"/>
        <v>2.7450000000000001</v>
      </c>
      <c r="L80" s="122" t="s">
        <v>188</v>
      </c>
      <c r="M80" s="85"/>
      <c r="N80" s="134">
        <v>50</v>
      </c>
      <c r="O80" s="135">
        <v>54.9</v>
      </c>
      <c r="P80" s="85"/>
      <c r="Q80" s="85"/>
    </row>
    <row r="81" spans="1:17" ht="15.6" x14ac:dyDescent="0.35">
      <c r="A81" s="85"/>
      <c r="B81" s="96" t="s">
        <v>52</v>
      </c>
      <c r="C81" s="121">
        <v>1</v>
      </c>
      <c r="D81" s="122" t="s">
        <v>17</v>
      </c>
      <c r="E81" s="85"/>
      <c r="F81" s="123" t="s">
        <v>52</v>
      </c>
      <c r="G81" s="104">
        <f t="shared" si="3"/>
        <v>3.585E-2</v>
      </c>
      <c r="H81" s="122" t="s">
        <v>187</v>
      </c>
      <c r="I81" s="85"/>
      <c r="J81" s="123" t="s">
        <v>52</v>
      </c>
      <c r="K81" s="149">
        <f t="shared" si="4"/>
        <v>1.968165E-3</v>
      </c>
      <c r="L81" s="122" t="s">
        <v>188</v>
      </c>
      <c r="M81" s="85"/>
      <c r="N81" s="134">
        <v>3.585E-2</v>
      </c>
      <c r="O81" s="135">
        <v>54.9</v>
      </c>
      <c r="P81" s="85"/>
      <c r="Q81" s="85"/>
    </row>
    <row r="82" spans="1:17" ht="15.6" x14ac:dyDescent="0.35">
      <c r="A82" s="85"/>
      <c r="B82" s="96" t="s">
        <v>53</v>
      </c>
      <c r="C82" s="121">
        <v>1</v>
      </c>
      <c r="D82" s="122" t="s">
        <v>8</v>
      </c>
      <c r="E82" s="85"/>
      <c r="F82" s="123" t="s">
        <v>53</v>
      </c>
      <c r="G82" s="104">
        <f t="shared" si="3"/>
        <v>44.3</v>
      </c>
      <c r="H82" s="122" t="s">
        <v>187</v>
      </c>
      <c r="I82" s="85"/>
      <c r="J82" s="123" t="s">
        <v>53</v>
      </c>
      <c r="K82" s="149">
        <f t="shared" si="4"/>
        <v>3.0699899999999998</v>
      </c>
      <c r="L82" s="122" t="s">
        <v>188</v>
      </c>
      <c r="M82" s="85"/>
      <c r="N82" s="134">
        <v>44.3</v>
      </c>
      <c r="O82" s="135">
        <v>69.3</v>
      </c>
      <c r="P82" s="85"/>
      <c r="Q82" s="85"/>
    </row>
    <row r="83" spans="1:17" ht="15.6" x14ac:dyDescent="0.35">
      <c r="A83" s="85"/>
      <c r="B83" s="96" t="s">
        <v>86</v>
      </c>
      <c r="C83" s="121">
        <v>1</v>
      </c>
      <c r="D83" s="122" t="s">
        <v>14</v>
      </c>
      <c r="E83" s="85"/>
      <c r="F83" s="123" t="s">
        <v>86</v>
      </c>
      <c r="G83" s="104">
        <f t="shared" si="3"/>
        <v>33.4465</v>
      </c>
      <c r="H83" s="122" t="s">
        <v>187</v>
      </c>
      <c r="I83" s="85"/>
      <c r="J83" s="123" t="s">
        <v>86</v>
      </c>
      <c r="K83" s="149">
        <f t="shared" si="4"/>
        <v>2.3178424500000001</v>
      </c>
      <c r="L83" s="122" t="s">
        <v>188</v>
      </c>
      <c r="M83" s="85"/>
      <c r="N83" s="134">
        <v>33.4465</v>
      </c>
      <c r="O83" s="135">
        <f>O82</f>
        <v>69.3</v>
      </c>
      <c r="P83" s="85"/>
      <c r="Q83" s="85"/>
    </row>
    <row r="84" spans="1:17" ht="15.6" x14ac:dyDescent="0.35">
      <c r="A84" s="85"/>
      <c r="B84" s="96" t="s">
        <v>54</v>
      </c>
      <c r="C84" s="121">
        <v>1</v>
      </c>
      <c r="D84" s="122" t="s">
        <v>8</v>
      </c>
      <c r="E84" s="85"/>
      <c r="F84" s="123" t="s">
        <v>54</v>
      </c>
      <c r="G84" s="104">
        <f t="shared" si="3"/>
        <v>44.5</v>
      </c>
      <c r="H84" s="122" t="s">
        <v>187</v>
      </c>
      <c r="I84" s="85"/>
      <c r="J84" s="123" t="s">
        <v>54</v>
      </c>
      <c r="K84" s="149">
        <f t="shared" si="4"/>
        <v>3.2618499999999999</v>
      </c>
      <c r="L84" s="122" t="s">
        <v>188</v>
      </c>
      <c r="M84" s="85"/>
      <c r="N84" s="134">
        <v>44.5</v>
      </c>
      <c r="O84" s="135">
        <v>73.3</v>
      </c>
      <c r="P84" s="85"/>
      <c r="Q84" s="85"/>
    </row>
    <row r="85" spans="1:17" ht="15.6" x14ac:dyDescent="0.35">
      <c r="A85" s="85"/>
      <c r="B85" s="96" t="s">
        <v>55</v>
      </c>
      <c r="C85" s="121">
        <v>1</v>
      </c>
      <c r="D85" s="122" t="s">
        <v>8</v>
      </c>
      <c r="E85" s="85"/>
      <c r="F85" s="123" t="s">
        <v>55</v>
      </c>
      <c r="G85" s="104">
        <f t="shared" si="3"/>
        <v>27.5</v>
      </c>
      <c r="H85" s="122" t="s">
        <v>187</v>
      </c>
      <c r="I85" s="85"/>
      <c r="J85" s="123" t="s">
        <v>55</v>
      </c>
      <c r="K85" s="149">
        <f t="shared" si="4"/>
        <v>2.1175000000000002</v>
      </c>
      <c r="L85" s="122" t="s">
        <v>188</v>
      </c>
      <c r="M85" s="85"/>
      <c r="N85" s="134">
        <v>27.5</v>
      </c>
      <c r="O85" s="135">
        <v>77</v>
      </c>
      <c r="P85" s="85"/>
      <c r="Q85" s="85"/>
    </row>
    <row r="86" spans="1:17" ht="15.6" x14ac:dyDescent="0.35">
      <c r="A86" s="85"/>
      <c r="B86" s="150" t="s">
        <v>56</v>
      </c>
      <c r="C86" s="121">
        <v>1</v>
      </c>
      <c r="D86" s="122" t="s">
        <v>8</v>
      </c>
      <c r="E86" s="85"/>
      <c r="F86" s="123" t="s">
        <v>56</v>
      </c>
      <c r="G86" s="104">
        <f t="shared" si="3"/>
        <v>50.4</v>
      </c>
      <c r="H86" s="122" t="s">
        <v>187</v>
      </c>
      <c r="I86" s="85"/>
      <c r="J86" s="123" t="s">
        <v>56</v>
      </c>
      <c r="K86" s="149">
        <f t="shared" si="4"/>
        <v>0</v>
      </c>
      <c r="L86" s="122" t="s">
        <v>188</v>
      </c>
      <c r="M86" s="85"/>
      <c r="N86" s="134">
        <v>50.4</v>
      </c>
      <c r="O86" s="135">
        <v>0</v>
      </c>
      <c r="P86" s="85"/>
      <c r="Q86" s="85"/>
    </row>
    <row r="87" spans="1:17" ht="15.6" x14ac:dyDescent="0.35">
      <c r="A87" s="85"/>
      <c r="B87" s="96" t="s">
        <v>57</v>
      </c>
      <c r="C87" s="121">
        <v>1</v>
      </c>
      <c r="D87" s="122" t="s">
        <v>8</v>
      </c>
      <c r="E87" s="85"/>
      <c r="F87" s="123" t="s">
        <v>57</v>
      </c>
      <c r="G87" s="104">
        <f t="shared" si="3"/>
        <v>7.06</v>
      </c>
      <c r="H87" s="122" t="s">
        <v>187</v>
      </c>
      <c r="I87" s="85"/>
      <c r="J87" s="123" t="s">
        <v>57</v>
      </c>
      <c r="K87" s="149">
        <f t="shared" si="4"/>
        <v>1.2849199999999998</v>
      </c>
      <c r="L87" s="122" t="s">
        <v>188</v>
      </c>
      <c r="M87" s="85"/>
      <c r="N87" s="134">
        <v>7.06</v>
      </c>
      <c r="O87" s="135">
        <v>182</v>
      </c>
      <c r="P87" s="85"/>
      <c r="Q87" s="85"/>
    </row>
    <row r="88" spans="1:17" ht="15.6" x14ac:dyDescent="0.35">
      <c r="A88" s="85"/>
      <c r="B88" s="96" t="s">
        <v>58</v>
      </c>
      <c r="C88" s="121">
        <v>1</v>
      </c>
      <c r="D88" s="122" t="s">
        <v>8</v>
      </c>
      <c r="E88" s="85"/>
      <c r="F88" s="123" t="s">
        <v>58</v>
      </c>
      <c r="G88" s="104">
        <f t="shared" si="3"/>
        <v>40.200000000000003</v>
      </c>
      <c r="H88" s="122" t="s">
        <v>187</v>
      </c>
      <c r="I88" s="85"/>
      <c r="J88" s="123" t="s">
        <v>58</v>
      </c>
      <c r="K88" s="149">
        <f t="shared" si="4"/>
        <v>2.9466600000000005</v>
      </c>
      <c r="L88" s="122" t="s">
        <v>188</v>
      </c>
      <c r="M88" s="85"/>
      <c r="N88" s="134">
        <v>40.200000000000003</v>
      </c>
      <c r="O88" s="135">
        <v>73.3</v>
      </c>
      <c r="P88" s="85"/>
      <c r="Q88" s="85"/>
    </row>
    <row r="89" spans="1:17" ht="15.6" x14ac:dyDescent="0.35">
      <c r="A89" s="85"/>
      <c r="B89" s="96" t="s">
        <v>59</v>
      </c>
      <c r="C89" s="121">
        <v>1</v>
      </c>
      <c r="D89" s="122" t="s">
        <v>8</v>
      </c>
      <c r="E89" s="85"/>
      <c r="F89" s="123" t="s">
        <v>59</v>
      </c>
      <c r="G89" s="104">
        <f t="shared" si="3"/>
        <v>32.5</v>
      </c>
      <c r="H89" s="122" t="s">
        <v>187</v>
      </c>
      <c r="I89" s="85"/>
      <c r="J89" s="123" t="s">
        <v>59</v>
      </c>
      <c r="K89" s="149">
        <f t="shared" si="4"/>
        <v>3.1687500000000002</v>
      </c>
      <c r="L89" s="122" t="s">
        <v>188</v>
      </c>
      <c r="M89" s="85"/>
      <c r="N89" s="134">
        <v>32.5</v>
      </c>
      <c r="O89" s="135">
        <v>97.5</v>
      </c>
      <c r="P89" s="85"/>
      <c r="Q89" s="85"/>
    </row>
    <row r="90" spans="1:17" ht="15.6" x14ac:dyDescent="0.35">
      <c r="A90" s="85"/>
      <c r="B90" s="96" t="s">
        <v>60</v>
      </c>
      <c r="C90" s="121">
        <v>1</v>
      </c>
      <c r="D90" s="122" t="s">
        <v>8</v>
      </c>
      <c r="E90" s="85"/>
      <c r="F90" s="123" t="s">
        <v>60</v>
      </c>
      <c r="G90" s="104">
        <f t="shared" si="3"/>
        <v>46.2</v>
      </c>
      <c r="H90" s="122" t="s">
        <v>187</v>
      </c>
      <c r="I90" s="85"/>
      <c r="J90" s="123" t="s">
        <v>60</v>
      </c>
      <c r="K90" s="149">
        <f t="shared" si="4"/>
        <v>2.9152200000000001</v>
      </c>
      <c r="L90" s="122" t="s">
        <v>188</v>
      </c>
      <c r="M90" s="85"/>
      <c r="N90" s="134">
        <v>46.2</v>
      </c>
      <c r="O90" s="135">
        <v>63.1</v>
      </c>
      <c r="P90" s="85"/>
      <c r="Q90" s="85"/>
    </row>
    <row r="91" spans="1:17" ht="15.6" x14ac:dyDescent="0.35">
      <c r="A91" s="85"/>
      <c r="B91" s="96" t="s">
        <v>61</v>
      </c>
      <c r="C91" s="121">
        <v>1</v>
      </c>
      <c r="D91" s="122" t="s">
        <v>14</v>
      </c>
      <c r="E91" s="85"/>
      <c r="F91" s="123" t="s">
        <v>61</v>
      </c>
      <c r="G91" s="104">
        <f t="shared" si="3"/>
        <v>24.301200000000001</v>
      </c>
      <c r="H91" s="122" t="s">
        <v>187</v>
      </c>
      <c r="I91" s="85"/>
      <c r="J91" s="123" t="s">
        <v>61</v>
      </c>
      <c r="K91" s="149">
        <f t="shared" si="4"/>
        <v>1.5334057200000002</v>
      </c>
      <c r="L91" s="122" t="s">
        <v>188</v>
      </c>
      <c r="M91" s="85"/>
      <c r="N91" s="134">
        <v>24.301200000000001</v>
      </c>
      <c r="O91" s="135">
        <v>63.1</v>
      </c>
      <c r="P91" s="85"/>
      <c r="Q91" s="85"/>
    </row>
    <row r="92" spans="1:17" ht="15.6" x14ac:dyDescent="0.35">
      <c r="A92" s="85"/>
      <c r="B92" s="96" t="s">
        <v>62</v>
      </c>
      <c r="C92" s="121">
        <v>1</v>
      </c>
      <c r="D92" s="122" t="s">
        <v>8</v>
      </c>
      <c r="E92" s="85"/>
      <c r="F92" s="123" t="s">
        <v>62</v>
      </c>
      <c r="G92" s="104">
        <f t="shared" si="3"/>
        <v>49.5</v>
      </c>
      <c r="H92" s="122" t="s">
        <v>187</v>
      </c>
      <c r="I92" s="85"/>
      <c r="J92" s="123" t="s">
        <v>62</v>
      </c>
      <c r="K92" s="149">
        <f t="shared" si="4"/>
        <v>2.8512000000000004</v>
      </c>
      <c r="L92" s="122" t="s">
        <v>188</v>
      </c>
      <c r="M92" s="85"/>
      <c r="N92" s="134">
        <v>49.5</v>
      </c>
      <c r="O92" s="135">
        <v>57.6</v>
      </c>
      <c r="P92" s="85"/>
      <c r="Q92" s="85"/>
    </row>
    <row r="93" spans="1:17" ht="15.6" x14ac:dyDescent="0.35">
      <c r="A93" s="85"/>
      <c r="B93" s="96" t="s">
        <v>63</v>
      </c>
      <c r="C93" s="121">
        <v>1</v>
      </c>
      <c r="D93" s="122" t="s">
        <v>8</v>
      </c>
      <c r="E93" s="85"/>
      <c r="F93" s="123" t="s">
        <v>63</v>
      </c>
      <c r="G93" s="104">
        <f t="shared" si="3"/>
        <v>43</v>
      </c>
      <c r="H93" s="122" t="s">
        <v>187</v>
      </c>
      <c r="I93" s="85"/>
      <c r="J93" s="123" t="s">
        <v>63</v>
      </c>
      <c r="K93" s="149">
        <f t="shared" si="4"/>
        <v>3.1518999999999999</v>
      </c>
      <c r="L93" s="122" t="s">
        <v>188</v>
      </c>
      <c r="M93" s="85"/>
      <c r="N93" s="134">
        <v>43</v>
      </c>
      <c r="O93" s="135">
        <v>73.3</v>
      </c>
      <c r="P93" s="85"/>
      <c r="Q93" s="85"/>
    </row>
    <row r="94" spans="1:17" ht="15.6" x14ac:dyDescent="0.35">
      <c r="A94" s="85"/>
      <c r="B94" s="96" t="s">
        <v>64</v>
      </c>
      <c r="C94" s="121">
        <v>1</v>
      </c>
      <c r="D94" s="122" t="s">
        <v>8</v>
      </c>
      <c r="E94" s="85"/>
      <c r="F94" s="123" t="s">
        <v>64</v>
      </c>
      <c r="G94" s="104">
        <f t="shared" si="3"/>
        <v>40.603999999999999</v>
      </c>
      <c r="H94" s="122" t="s">
        <v>187</v>
      </c>
      <c r="I94" s="85"/>
      <c r="J94" s="123" t="s">
        <v>64</v>
      </c>
      <c r="K94" s="149">
        <f t="shared" si="4"/>
        <v>3.1427496000000001</v>
      </c>
      <c r="L94" s="122" t="s">
        <v>188</v>
      </c>
      <c r="M94" s="85"/>
      <c r="N94" s="134">
        <v>40.603999999999999</v>
      </c>
      <c r="O94" s="135">
        <v>77.400000000000006</v>
      </c>
      <c r="P94" s="85"/>
      <c r="Q94" s="85"/>
    </row>
    <row r="95" spans="1:17" ht="15.6" x14ac:dyDescent="0.35">
      <c r="A95" s="85"/>
      <c r="B95" s="96" t="s">
        <v>65</v>
      </c>
      <c r="C95" s="121">
        <v>1</v>
      </c>
      <c r="D95" s="122" t="s">
        <v>8</v>
      </c>
      <c r="E95" s="85"/>
      <c r="F95" s="123" t="s">
        <v>65</v>
      </c>
      <c r="G95" s="104">
        <f t="shared" si="3"/>
        <v>42.3</v>
      </c>
      <c r="H95" s="122" t="s">
        <v>187</v>
      </c>
      <c r="I95" s="85"/>
      <c r="J95" s="123" t="s">
        <v>65</v>
      </c>
      <c r="K95" s="149">
        <f t="shared" si="4"/>
        <v>3.1005899999999995</v>
      </c>
      <c r="L95" s="122" t="s">
        <v>188</v>
      </c>
      <c r="M95" s="85"/>
      <c r="N95" s="134">
        <v>42.3</v>
      </c>
      <c r="O95" s="135">
        <v>73.3</v>
      </c>
      <c r="P95" s="85"/>
      <c r="Q95" s="85"/>
    </row>
    <row r="96" spans="1:17" ht="15.6" x14ac:dyDescent="0.35">
      <c r="A96" s="85"/>
      <c r="B96" s="150" t="s">
        <v>66</v>
      </c>
      <c r="C96" s="121">
        <v>1</v>
      </c>
      <c r="D96" s="122" t="s">
        <v>8</v>
      </c>
      <c r="E96" s="85"/>
      <c r="F96" s="123" t="s">
        <v>66</v>
      </c>
      <c r="G96" s="104">
        <f t="shared" si="3"/>
        <v>50.4</v>
      </c>
      <c r="H96" s="122" t="s">
        <v>187</v>
      </c>
      <c r="I96" s="85"/>
      <c r="J96" s="123" t="s">
        <v>66</v>
      </c>
      <c r="K96" s="149">
        <f t="shared" si="4"/>
        <v>0</v>
      </c>
      <c r="L96" s="122" t="s">
        <v>188</v>
      </c>
      <c r="M96" s="85"/>
      <c r="N96" s="134">
        <v>50.4</v>
      </c>
      <c r="O96" s="135">
        <v>0</v>
      </c>
      <c r="P96" s="85"/>
      <c r="Q96" s="85"/>
    </row>
    <row r="97" spans="1:17" ht="15.6" x14ac:dyDescent="0.35">
      <c r="A97" s="85"/>
      <c r="B97" s="96" t="s">
        <v>67</v>
      </c>
      <c r="C97" s="121">
        <v>1</v>
      </c>
      <c r="D97" s="122" t="s">
        <v>8</v>
      </c>
      <c r="E97" s="85"/>
      <c r="F97" s="123" t="s">
        <v>67</v>
      </c>
      <c r="G97" s="104">
        <f t="shared" si="3"/>
        <v>40.200000000000003</v>
      </c>
      <c r="H97" s="122" t="s">
        <v>187</v>
      </c>
      <c r="I97" s="85"/>
      <c r="J97" s="123" t="s">
        <v>67</v>
      </c>
      <c r="K97" s="149">
        <f t="shared" si="4"/>
        <v>2.9466600000000005</v>
      </c>
      <c r="L97" s="122" t="s">
        <v>188</v>
      </c>
      <c r="M97" s="85"/>
      <c r="N97" s="134">
        <v>40.200000000000003</v>
      </c>
      <c r="O97" s="135">
        <v>73.3</v>
      </c>
      <c r="P97" s="85"/>
      <c r="Q97" s="85"/>
    </row>
    <row r="98" spans="1:17" ht="15.6" x14ac:dyDescent="0.35">
      <c r="A98" s="85"/>
      <c r="B98" s="96" t="s">
        <v>68</v>
      </c>
      <c r="C98" s="121">
        <v>1</v>
      </c>
      <c r="D98" s="122" t="s">
        <v>8</v>
      </c>
      <c r="E98" s="85"/>
      <c r="F98" s="123" t="s">
        <v>68</v>
      </c>
      <c r="G98" s="104">
        <f t="shared" si="3"/>
        <v>20.7</v>
      </c>
      <c r="H98" s="122" t="s">
        <v>187</v>
      </c>
      <c r="I98" s="85"/>
      <c r="J98" s="123" t="s">
        <v>68</v>
      </c>
      <c r="K98" s="149">
        <f t="shared" si="4"/>
        <v>2.0182500000000001</v>
      </c>
      <c r="L98" s="122" t="s">
        <v>188</v>
      </c>
      <c r="M98" s="85"/>
      <c r="N98" s="134">
        <v>20.7</v>
      </c>
      <c r="O98" s="135">
        <v>97.5</v>
      </c>
      <c r="P98" s="85"/>
      <c r="Q98" s="85"/>
    </row>
    <row r="99" spans="1:17" ht="15.6" x14ac:dyDescent="0.35">
      <c r="A99" s="85"/>
      <c r="B99" s="150" t="s">
        <v>69</v>
      </c>
      <c r="C99" s="121">
        <v>1</v>
      </c>
      <c r="D99" s="122" t="s">
        <v>8</v>
      </c>
      <c r="E99" s="85"/>
      <c r="F99" s="123" t="s">
        <v>69</v>
      </c>
      <c r="G99" s="104">
        <f t="shared" si="3"/>
        <v>50.4</v>
      </c>
      <c r="H99" s="122" t="s">
        <v>187</v>
      </c>
      <c r="I99" s="85"/>
      <c r="J99" s="123" t="s">
        <v>69</v>
      </c>
      <c r="K99" s="149">
        <f t="shared" si="4"/>
        <v>0</v>
      </c>
      <c r="L99" s="122" t="s">
        <v>188</v>
      </c>
      <c r="M99" s="85"/>
      <c r="N99" s="134">
        <v>50.4</v>
      </c>
      <c r="O99" s="135">
        <v>0</v>
      </c>
      <c r="P99" s="85"/>
      <c r="Q99" s="85"/>
    </row>
    <row r="100" spans="1:17" ht="15.6" x14ac:dyDescent="0.35">
      <c r="A100" s="85"/>
      <c r="B100" s="96" t="s">
        <v>70</v>
      </c>
      <c r="C100" s="121">
        <v>1</v>
      </c>
      <c r="D100" s="122" t="s">
        <v>8</v>
      </c>
      <c r="E100" s="85"/>
      <c r="F100" s="123" t="s">
        <v>70</v>
      </c>
      <c r="G100" s="104">
        <f t="shared" si="3"/>
        <v>18.899999999999999</v>
      </c>
      <c r="H100" s="122" t="s">
        <v>187</v>
      </c>
      <c r="I100" s="85"/>
      <c r="J100" s="123" t="s">
        <v>70</v>
      </c>
      <c r="K100" s="149">
        <f t="shared" si="4"/>
        <v>1.8162899999999997</v>
      </c>
      <c r="L100" s="122" t="s">
        <v>188</v>
      </c>
      <c r="M100" s="85"/>
      <c r="N100" s="134">
        <v>18.899999999999999</v>
      </c>
      <c r="O100" s="135">
        <v>96.1</v>
      </c>
      <c r="P100" s="85"/>
      <c r="Q100" s="85"/>
    </row>
    <row r="101" spans="1:17" ht="15.6" x14ac:dyDescent="0.35">
      <c r="A101" s="85"/>
      <c r="B101" s="96" t="s">
        <v>71</v>
      </c>
      <c r="C101" s="121">
        <v>1</v>
      </c>
      <c r="D101" s="122" t="s">
        <v>8</v>
      </c>
      <c r="E101" s="85"/>
      <c r="F101" s="123" t="s">
        <v>71</v>
      </c>
      <c r="G101" s="104">
        <f t="shared" si="3"/>
        <v>9.76</v>
      </c>
      <c r="H101" s="122" t="s">
        <v>187</v>
      </c>
      <c r="I101" s="85"/>
      <c r="J101" s="123" t="s">
        <v>71</v>
      </c>
      <c r="K101" s="149">
        <f t="shared" si="4"/>
        <v>1.0345599999999999</v>
      </c>
      <c r="L101" s="122" t="s">
        <v>188</v>
      </c>
      <c r="M101" s="85"/>
      <c r="N101" s="134">
        <v>9.76</v>
      </c>
      <c r="O101" s="135">
        <v>106</v>
      </c>
      <c r="P101" s="85"/>
      <c r="Q101" s="85"/>
    </row>
    <row r="102" spans="1:17" ht="15.6" x14ac:dyDescent="0.35">
      <c r="A102" s="85"/>
      <c r="B102" s="150" t="s">
        <v>72</v>
      </c>
      <c r="C102" s="121">
        <v>1</v>
      </c>
      <c r="D102" s="122" t="s">
        <v>8</v>
      </c>
      <c r="E102" s="85"/>
      <c r="F102" s="123" t="s">
        <v>72</v>
      </c>
      <c r="G102" s="104">
        <f t="shared" si="3"/>
        <v>14.6</v>
      </c>
      <c r="H102" s="122" t="s">
        <v>187</v>
      </c>
      <c r="I102" s="85"/>
      <c r="J102" s="123" t="s">
        <v>72</v>
      </c>
      <c r="K102" s="149">
        <f t="shared" si="4"/>
        <v>0</v>
      </c>
      <c r="L102" s="122" t="s">
        <v>188</v>
      </c>
      <c r="M102" s="85"/>
      <c r="N102" s="134">
        <v>14.6</v>
      </c>
      <c r="O102" s="135">
        <v>0</v>
      </c>
      <c r="P102" s="85"/>
      <c r="Q102" s="85"/>
    </row>
    <row r="103" spans="1:17" ht="15.6" x14ac:dyDescent="0.35">
      <c r="A103" s="85"/>
      <c r="B103" s="96" t="s">
        <v>73</v>
      </c>
      <c r="C103" s="121">
        <v>1</v>
      </c>
      <c r="D103" s="122" t="s">
        <v>8</v>
      </c>
      <c r="E103" s="85"/>
      <c r="F103" s="123" t="s">
        <v>73</v>
      </c>
      <c r="G103" s="104">
        <f t="shared" si="3"/>
        <v>47.3</v>
      </c>
      <c r="H103" s="122" t="s">
        <v>187</v>
      </c>
      <c r="I103" s="85"/>
      <c r="J103" s="123" t="s">
        <v>73</v>
      </c>
      <c r="K103" s="149">
        <f t="shared" si="4"/>
        <v>2.9846300000000001</v>
      </c>
      <c r="L103" s="122" t="s">
        <v>188</v>
      </c>
      <c r="M103" s="85"/>
      <c r="N103" s="134">
        <v>47.3</v>
      </c>
      <c r="O103" s="135">
        <v>63.1</v>
      </c>
      <c r="P103" s="85"/>
      <c r="Q103" s="85"/>
    </row>
    <row r="104" spans="1:17" ht="15.6" x14ac:dyDescent="0.35">
      <c r="A104" s="85"/>
      <c r="B104" s="96" t="s">
        <v>74</v>
      </c>
      <c r="C104" s="121">
        <v>1</v>
      </c>
      <c r="D104" s="122" t="s">
        <v>8</v>
      </c>
      <c r="E104" s="85"/>
      <c r="F104" s="123" t="s">
        <v>74</v>
      </c>
      <c r="G104" s="104">
        <f t="shared" ref="G104:G105" si="5">C104*N104</f>
        <v>40.200000000000003</v>
      </c>
      <c r="H104" s="122" t="s">
        <v>187</v>
      </c>
      <c r="I104" s="85"/>
      <c r="J104" s="123" t="s">
        <v>74</v>
      </c>
      <c r="K104" s="149">
        <f t="shared" ref="K104:K105" si="6">G104*O104/1000</f>
        <v>2.9466600000000005</v>
      </c>
      <c r="L104" s="122" t="s">
        <v>188</v>
      </c>
      <c r="M104" s="85"/>
      <c r="N104" s="134">
        <v>40.200000000000003</v>
      </c>
      <c r="O104" s="135">
        <v>73.3</v>
      </c>
      <c r="P104" s="85"/>
      <c r="Q104" s="85"/>
    </row>
    <row r="105" spans="1:17" ht="16.2" thickBot="1" x14ac:dyDescent="0.4">
      <c r="A105" s="85"/>
      <c r="B105" s="151" t="s">
        <v>75</v>
      </c>
      <c r="C105" s="124">
        <v>1</v>
      </c>
      <c r="D105" s="125" t="s">
        <v>8</v>
      </c>
      <c r="E105" s="85"/>
      <c r="F105" s="126" t="s">
        <v>75</v>
      </c>
      <c r="G105" s="130">
        <f t="shared" si="5"/>
        <v>15.6</v>
      </c>
      <c r="H105" s="125" t="s">
        <v>187</v>
      </c>
      <c r="I105" s="85"/>
      <c r="J105" s="126" t="s">
        <v>75</v>
      </c>
      <c r="K105" s="152">
        <f t="shared" si="6"/>
        <v>0</v>
      </c>
      <c r="L105" s="125" t="s">
        <v>188</v>
      </c>
      <c r="M105" s="85"/>
      <c r="N105" s="140">
        <v>15.6</v>
      </c>
      <c r="O105" s="141">
        <v>0</v>
      </c>
      <c r="P105" s="85"/>
      <c r="Q105" s="85"/>
    </row>
    <row r="106" spans="1:17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</sheetData>
  <sheetProtection algorithmName="SHA-512" hashValue="xnMS8ohFctNBMGCJLRhHQSeKEmyMXcuY4N0/eFI84P7+qsA8yIN6d8Zr4TRzkFtjL2Cs8Wpgzno5h3EInRDWjg==" saltValue="tJQRsuMvK05k3652NN1q9w==" spinCount="100000" sheet="1" formatCells="0" formatColumns="0" formatRows="0" insertColumns="0" insertRows="0" insertHyperlinks="0" deleteColumns="0" deleteRows="0" sort="0" autoFilter="0" pivotTables="0"/>
  <protectedRanges>
    <protectedRange sqref="C39:C105" name="Bereik2"/>
    <protectedRange sqref="C8:C22" name="Bereik1"/>
  </protectedRanges>
  <mergeCells count="3">
    <mergeCell ref="B5:L5"/>
    <mergeCell ref="B38:D38"/>
    <mergeCell ref="B25:D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5"/>
  <sheetViews>
    <sheetView workbookViewId="0">
      <selection activeCell="C24" sqref="C24"/>
    </sheetView>
  </sheetViews>
  <sheetFormatPr defaultColWidth="20.6640625" defaultRowHeight="14.4" x14ac:dyDescent="0.3"/>
  <cols>
    <col min="1" max="1" width="6.77734375" style="28" customWidth="1"/>
    <col min="2" max="2" width="25.6640625" style="28" customWidth="1"/>
    <col min="3" max="4" width="20.6640625" style="28" customWidth="1"/>
    <col min="5" max="5" width="15.6640625" style="28" customWidth="1"/>
    <col min="6" max="6" width="5.6640625" style="28" customWidth="1"/>
    <col min="7" max="7" width="30.6640625" style="28" customWidth="1"/>
    <col min="8" max="8" width="15.6640625" style="28" customWidth="1"/>
    <col min="9" max="11" width="5.6640625" style="28" customWidth="1"/>
    <col min="12" max="13" width="6.77734375" style="28" customWidth="1"/>
    <col min="14" max="16384" width="20.6640625" style="28"/>
  </cols>
  <sheetData>
    <row r="1" spans="2:10" x14ac:dyDescent="0.3">
      <c r="B1" s="36"/>
      <c r="C1" s="34"/>
      <c r="E1" s="29"/>
      <c r="G1" s="32"/>
      <c r="H1" s="32"/>
      <c r="I1" s="32"/>
    </row>
    <row r="2" spans="2:10" ht="28.8" x14ac:dyDescent="0.3">
      <c r="B2" s="29" t="s">
        <v>76</v>
      </c>
      <c r="C2" s="29" t="s">
        <v>101</v>
      </c>
      <c r="D2" s="37" t="s">
        <v>111</v>
      </c>
      <c r="E2" s="37" t="s">
        <v>100</v>
      </c>
      <c r="G2" s="39" t="s">
        <v>112</v>
      </c>
      <c r="H2" s="41"/>
      <c r="I2" s="32"/>
      <c r="J2" s="32"/>
    </row>
    <row r="3" spans="2:10" x14ac:dyDescent="0.3">
      <c r="B3" s="16" t="s">
        <v>77</v>
      </c>
      <c r="C3" s="16" t="s">
        <v>108</v>
      </c>
      <c r="D3" s="43">
        <f>Energievectoren!C22</f>
        <v>9</v>
      </c>
      <c r="E3" s="18">
        <v>10000</v>
      </c>
      <c r="G3" s="48" t="str">
        <f>B3</f>
        <v>ELEKTRICITEIT</v>
      </c>
      <c r="H3" s="49">
        <f>E3*$D3</f>
        <v>90000</v>
      </c>
      <c r="I3" s="32"/>
      <c r="J3" s="42"/>
    </row>
    <row r="4" spans="2:10" x14ac:dyDescent="0.3">
      <c r="B4" s="16" t="s">
        <v>107</v>
      </c>
      <c r="C4" s="16" t="s">
        <v>109</v>
      </c>
      <c r="D4" s="44">
        <f>Energievectoren!C5</f>
        <v>3.6</v>
      </c>
      <c r="E4" s="18"/>
      <c r="G4" s="48" t="str">
        <f t="shared" ref="G4:G12" si="0">B4</f>
        <v>AARDGAS (OVW)</v>
      </c>
      <c r="H4" s="49">
        <f t="shared" ref="H4:H10" si="1">E4*$D4</f>
        <v>0</v>
      </c>
      <c r="I4" s="32"/>
      <c r="J4" s="42"/>
    </row>
    <row r="5" spans="2:10" x14ac:dyDescent="0.3">
      <c r="B5" s="16" t="s">
        <v>106</v>
      </c>
      <c r="C5" s="16" t="s">
        <v>110</v>
      </c>
      <c r="D5" s="47">
        <f>Energievectoren!C4</f>
        <v>3.2508000000000004</v>
      </c>
      <c r="E5" s="18">
        <v>20000</v>
      </c>
      <c r="G5" s="48" t="str">
        <f t="shared" si="0"/>
        <v>AARDGAS (BVW)</v>
      </c>
      <c r="H5" s="49">
        <f t="shared" si="1"/>
        <v>65016.000000000007</v>
      </c>
      <c r="I5" s="32"/>
      <c r="J5" s="42"/>
    </row>
    <row r="6" spans="2:10" x14ac:dyDescent="0.3">
      <c r="B6" s="16" t="s">
        <v>84</v>
      </c>
      <c r="C6" s="16" t="s">
        <v>14</v>
      </c>
      <c r="D6" s="45">
        <f>Energievectoren!C27</f>
        <v>35.937150000000003</v>
      </c>
      <c r="E6" s="18"/>
      <c r="G6" s="48" t="str">
        <f t="shared" si="0"/>
        <v>STOOKOLIE (mazout)</v>
      </c>
      <c r="H6" s="49">
        <f t="shared" si="1"/>
        <v>0</v>
      </c>
      <c r="I6" s="32"/>
      <c r="J6" s="42"/>
    </row>
    <row r="7" spans="2:10" x14ac:dyDescent="0.3">
      <c r="B7" s="16" t="s">
        <v>85</v>
      </c>
      <c r="C7" s="16" t="s">
        <v>14</v>
      </c>
      <c r="D7" s="46">
        <f>Energievectoren!C27</f>
        <v>35.937150000000003</v>
      </c>
      <c r="E7" s="18"/>
      <c r="G7" s="48" t="str">
        <f t="shared" si="0"/>
        <v>DIESEL</v>
      </c>
      <c r="H7" s="49">
        <f t="shared" si="1"/>
        <v>0</v>
      </c>
      <c r="I7" s="32"/>
      <c r="J7" s="42"/>
    </row>
    <row r="8" spans="2:10" x14ac:dyDescent="0.3">
      <c r="B8" s="16" t="s">
        <v>78</v>
      </c>
      <c r="C8" s="16" t="s">
        <v>14</v>
      </c>
      <c r="D8" s="47">
        <f>Energievectoren!C48</f>
        <v>33.4465</v>
      </c>
      <c r="E8" s="18"/>
      <c r="G8" s="48" t="str">
        <f t="shared" si="0"/>
        <v>BENZINE (autobenzine)</v>
      </c>
      <c r="H8" s="49">
        <f t="shared" si="1"/>
        <v>0</v>
      </c>
      <c r="I8" s="32"/>
      <c r="J8" s="42"/>
    </row>
    <row r="9" spans="2:10" x14ac:dyDescent="0.3">
      <c r="B9" s="16" t="s">
        <v>79</v>
      </c>
      <c r="C9" s="16" t="s">
        <v>14</v>
      </c>
      <c r="D9" s="45">
        <f>Energievectoren!C44</f>
        <v>25.27195</v>
      </c>
      <c r="E9" s="18"/>
      <c r="G9" s="48" t="str">
        <f t="shared" si="0"/>
        <v>LPG (gemengd vloeibaar gas)</v>
      </c>
      <c r="H9" s="49">
        <f t="shared" si="1"/>
        <v>0</v>
      </c>
      <c r="I9" s="32"/>
      <c r="J9" s="42"/>
    </row>
    <row r="10" spans="2:10" x14ac:dyDescent="0.3">
      <c r="B10" s="16" t="s">
        <v>80</v>
      </c>
      <c r="C10" s="16" t="s">
        <v>8</v>
      </c>
      <c r="D10" s="44">
        <f>Energievectoren!C63</f>
        <v>20.7</v>
      </c>
      <c r="E10" s="18"/>
      <c r="G10" s="48" t="str">
        <f t="shared" si="0"/>
        <v>STEENKOOL</v>
      </c>
      <c r="H10" s="49">
        <f t="shared" si="1"/>
        <v>0</v>
      </c>
      <c r="I10" s="32"/>
      <c r="J10" s="42"/>
    </row>
    <row r="11" spans="2:10" x14ac:dyDescent="0.3">
      <c r="G11" s="32"/>
      <c r="H11" s="32"/>
      <c r="I11" s="32"/>
      <c r="J11" s="42"/>
    </row>
    <row r="12" spans="2:10" x14ac:dyDescent="0.3">
      <c r="B12" s="58" t="s">
        <v>97</v>
      </c>
      <c r="C12" s="17"/>
      <c r="D12" s="19"/>
      <c r="E12" s="18"/>
      <c r="G12" s="48" t="str">
        <f t="shared" si="0"/>
        <v xml:space="preserve">   eigen vector 1</v>
      </c>
      <c r="H12" s="49">
        <f>E12*$D12</f>
        <v>0</v>
      </c>
      <c r="I12" s="32"/>
      <c r="J12" s="42"/>
    </row>
    <row r="13" spans="2:10" x14ac:dyDescent="0.3">
      <c r="B13" s="58" t="s">
        <v>81</v>
      </c>
      <c r="C13" s="17"/>
      <c r="D13" s="19"/>
      <c r="E13" s="18"/>
      <c r="G13" s="48" t="str">
        <f t="shared" ref="G13:G18" si="2">B13</f>
        <v xml:space="preserve">   eigen vector 2</v>
      </c>
      <c r="H13" s="49">
        <f t="shared" ref="H13:H18" si="3">E13*$D13</f>
        <v>0</v>
      </c>
      <c r="I13" s="39"/>
      <c r="J13" s="32"/>
    </row>
    <row r="14" spans="2:10" x14ac:dyDescent="0.3">
      <c r="B14" s="58" t="s">
        <v>82</v>
      </c>
      <c r="C14" s="17"/>
      <c r="D14" s="19"/>
      <c r="E14" s="18"/>
      <c r="G14" s="48" t="str">
        <f t="shared" si="2"/>
        <v xml:space="preserve">   eigen vector 3</v>
      </c>
      <c r="H14" s="49">
        <f t="shared" si="3"/>
        <v>0</v>
      </c>
      <c r="I14" s="39"/>
      <c r="J14" s="32"/>
    </row>
    <row r="15" spans="2:10" x14ac:dyDescent="0.3">
      <c r="B15" s="58" t="s">
        <v>102</v>
      </c>
      <c r="C15" s="17"/>
      <c r="D15" s="19"/>
      <c r="E15" s="18"/>
      <c r="G15" s="48" t="str">
        <f t="shared" si="2"/>
        <v xml:space="preserve">   eigen vector 4</v>
      </c>
      <c r="H15" s="49">
        <f t="shared" si="3"/>
        <v>0</v>
      </c>
      <c r="I15" s="39"/>
      <c r="J15" s="32"/>
    </row>
    <row r="16" spans="2:10" x14ac:dyDescent="0.3">
      <c r="B16" s="58" t="s">
        <v>103</v>
      </c>
      <c r="C16" s="17"/>
      <c r="D16" s="19"/>
      <c r="E16" s="18"/>
      <c r="G16" s="48" t="str">
        <f t="shared" si="2"/>
        <v xml:space="preserve">   eigen vector 5</v>
      </c>
      <c r="H16" s="49">
        <f t="shared" si="3"/>
        <v>0</v>
      </c>
      <c r="I16" s="39"/>
      <c r="J16" s="32"/>
    </row>
    <row r="17" spans="2:10" x14ac:dyDescent="0.3">
      <c r="B17" s="58" t="s">
        <v>104</v>
      </c>
      <c r="C17" s="17"/>
      <c r="D17" s="19"/>
      <c r="E17" s="18"/>
      <c r="G17" s="48" t="str">
        <f t="shared" si="2"/>
        <v xml:space="preserve">   eigen vector 6</v>
      </c>
      <c r="H17" s="49">
        <f t="shared" si="3"/>
        <v>0</v>
      </c>
      <c r="I17" s="39"/>
      <c r="J17" s="32"/>
    </row>
    <row r="18" spans="2:10" ht="15" thickBot="1" x14ac:dyDescent="0.35">
      <c r="B18" s="58" t="s">
        <v>105</v>
      </c>
      <c r="C18" s="17"/>
      <c r="D18" s="19"/>
      <c r="E18" s="18"/>
      <c r="G18" s="48" t="str">
        <f t="shared" si="2"/>
        <v xml:space="preserve">   eigen vector 7</v>
      </c>
      <c r="H18" s="49">
        <f t="shared" si="3"/>
        <v>0</v>
      </c>
      <c r="I18" s="32"/>
      <c r="J18" s="39"/>
    </row>
    <row r="19" spans="2:10" x14ac:dyDescent="0.3">
      <c r="D19" s="31"/>
      <c r="F19" s="50"/>
      <c r="G19" s="51"/>
      <c r="H19" s="51"/>
      <c r="I19" s="52"/>
      <c r="J19" s="32"/>
    </row>
    <row r="20" spans="2:10" x14ac:dyDescent="0.3">
      <c r="F20" s="53"/>
      <c r="G20" s="39" t="s">
        <v>113</v>
      </c>
      <c r="H20" s="38">
        <f>SUM(H3:H18)</f>
        <v>155016</v>
      </c>
      <c r="I20" s="54"/>
      <c r="J20" s="32"/>
    </row>
    <row r="21" spans="2:10" x14ac:dyDescent="0.3">
      <c r="F21" s="53"/>
      <c r="G21" s="39"/>
      <c r="H21" s="38"/>
      <c r="I21" s="54"/>
      <c r="J21" s="32"/>
    </row>
    <row r="22" spans="2:10" x14ac:dyDescent="0.3">
      <c r="F22" s="53"/>
      <c r="G22" s="39" t="s">
        <v>99</v>
      </c>
      <c r="H22" s="40">
        <f>H20/1000</f>
        <v>155.01599999999999</v>
      </c>
      <c r="I22" s="54"/>
      <c r="J22" s="32"/>
    </row>
    <row r="23" spans="2:10" x14ac:dyDescent="0.3">
      <c r="F23" s="53"/>
      <c r="G23" s="39"/>
      <c r="H23" s="40"/>
      <c r="I23" s="54"/>
      <c r="J23" s="32"/>
    </row>
    <row r="24" spans="2:10" x14ac:dyDescent="0.3">
      <c r="F24" s="53"/>
      <c r="G24" s="59" t="s">
        <v>98</v>
      </c>
      <c r="H24" s="60">
        <f>H20/1000000</f>
        <v>0.15501599999999999</v>
      </c>
      <c r="I24" s="54"/>
      <c r="J24" s="32"/>
    </row>
    <row r="25" spans="2:10" x14ac:dyDescent="0.3">
      <c r="F25" s="53"/>
      <c r="G25" s="61"/>
      <c r="H25" s="62" t="str">
        <f>IF((H24&lt;0.1),"NIET ENERGIE-INTENSIEF","ENERGIE-INTENSIEF")</f>
        <v>ENERGIE-INTENSIEF</v>
      </c>
      <c r="I25" s="54"/>
      <c r="J25" s="32"/>
    </row>
    <row r="26" spans="2:10" ht="15" thickBot="1" x14ac:dyDescent="0.35">
      <c r="F26" s="55"/>
      <c r="G26" s="56"/>
      <c r="H26" s="56"/>
      <c r="I26" s="57"/>
      <c r="J26" s="32"/>
    </row>
    <row r="27" spans="2:10" x14ac:dyDescent="0.3">
      <c r="G27" s="32"/>
      <c r="H27" s="32"/>
    </row>
    <row r="28" spans="2:10" x14ac:dyDescent="0.3">
      <c r="G28" s="32"/>
      <c r="H28" s="32"/>
    </row>
    <row r="35" spans="5:7" x14ac:dyDescent="0.3">
      <c r="E35" s="33"/>
    </row>
    <row r="36" spans="5:7" x14ac:dyDescent="0.3">
      <c r="G36" s="30"/>
    </row>
    <row r="37" spans="5:7" x14ac:dyDescent="0.3">
      <c r="G37" s="35"/>
    </row>
    <row r="65" spans="5:5" x14ac:dyDescent="0.3">
      <c r="E65" s="33"/>
    </row>
  </sheetData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0"/>
  <sheetViews>
    <sheetView topLeftCell="A2" zoomScale="115" zoomScaleNormal="115" workbookViewId="0">
      <selection activeCell="D17" sqref="D17"/>
    </sheetView>
  </sheetViews>
  <sheetFormatPr defaultColWidth="8.88671875" defaultRowHeight="13.8" x14ac:dyDescent="0.3"/>
  <cols>
    <col min="1" max="1" width="35.6640625" style="1" customWidth="1"/>
    <col min="2" max="4" width="10.6640625" style="1" customWidth="1"/>
    <col min="5" max="11" width="8.88671875" style="1"/>
    <col min="12" max="12" width="32.6640625" style="1" hidden="1" customWidth="1"/>
    <col min="13" max="17" width="14.6640625" style="1" hidden="1" customWidth="1"/>
    <col min="18" max="16384" width="8.88671875" style="1"/>
  </cols>
  <sheetData>
    <row r="1" spans="1:16" ht="62.25" hidden="1" customHeight="1" x14ac:dyDescent="0.3">
      <c r="A1" s="205" t="s">
        <v>114</v>
      </c>
      <c r="B1" s="205"/>
      <c r="C1" s="205"/>
      <c r="D1" s="205"/>
      <c r="L1" s="206" t="s">
        <v>115</v>
      </c>
      <c r="M1" s="206"/>
      <c r="N1" s="206"/>
      <c r="O1" s="206"/>
      <c r="P1" s="206"/>
    </row>
    <row r="2" spans="1:16" s="15" customFormat="1" ht="30" x14ac:dyDescent="0.35">
      <c r="A2" s="12" t="s">
        <v>0</v>
      </c>
      <c r="B2" s="13" t="s">
        <v>1</v>
      </c>
      <c r="C2" s="14" t="s">
        <v>88</v>
      </c>
      <c r="D2" s="14" t="s">
        <v>91</v>
      </c>
      <c r="L2" s="206" t="s">
        <v>160</v>
      </c>
      <c r="M2" s="206"/>
      <c r="N2" s="206"/>
      <c r="O2" s="206"/>
      <c r="P2" s="206"/>
    </row>
    <row r="3" spans="1:16" x14ac:dyDescent="0.3">
      <c r="A3" s="2"/>
      <c r="B3" s="3" t="s">
        <v>2</v>
      </c>
      <c r="C3" s="2"/>
      <c r="D3" s="4"/>
    </row>
    <row r="4" spans="1:16" ht="14.4" x14ac:dyDescent="0.3">
      <c r="A4" s="5" t="s">
        <v>3</v>
      </c>
      <c r="B4" s="5" t="s">
        <v>4</v>
      </c>
      <c r="C4" s="5">
        <v>3.2508000000000004</v>
      </c>
      <c r="D4" s="6">
        <v>56.1</v>
      </c>
      <c r="L4" s="74" t="s">
        <v>116</v>
      </c>
      <c r="M4" s="75" t="s">
        <v>117</v>
      </c>
      <c r="N4" s="78" t="s">
        <v>161</v>
      </c>
      <c r="O4" s="74" t="s">
        <v>118</v>
      </c>
      <c r="P4" s="74" t="s">
        <v>119</v>
      </c>
    </row>
    <row r="5" spans="1:16" s="22" customFormat="1" ht="14.4" x14ac:dyDescent="0.3">
      <c r="A5" s="20" t="s">
        <v>5</v>
      </c>
      <c r="B5" s="20" t="s">
        <v>6</v>
      </c>
      <c r="C5" s="20">
        <v>3.6</v>
      </c>
      <c r="D5" s="21">
        <v>56.1</v>
      </c>
      <c r="L5" t="s">
        <v>120</v>
      </c>
      <c r="M5" s="76">
        <v>28500</v>
      </c>
      <c r="N5" s="80">
        <f>C19*1000</f>
        <v>28200</v>
      </c>
      <c r="O5">
        <v>0.67600000000000005</v>
      </c>
      <c r="P5">
        <v>7.9169999999999998</v>
      </c>
    </row>
    <row r="6" spans="1:16" ht="14.4" x14ac:dyDescent="0.3">
      <c r="A6" s="5" t="s">
        <v>7</v>
      </c>
      <c r="B6" s="5" t="s">
        <v>8</v>
      </c>
      <c r="C6" s="5">
        <v>44.2</v>
      </c>
      <c r="D6" s="6">
        <v>64.2</v>
      </c>
      <c r="L6" t="s">
        <v>121</v>
      </c>
      <c r="M6" s="77" t="s">
        <v>122</v>
      </c>
      <c r="N6" s="79">
        <f>C63*1000</f>
        <v>20700</v>
      </c>
      <c r="O6" t="s">
        <v>123</v>
      </c>
      <c r="P6" t="s">
        <v>124</v>
      </c>
    </row>
    <row r="7" spans="1:16" ht="14.4" x14ac:dyDescent="0.3">
      <c r="A7" s="5" t="s">
        <v>9</v>
      </c>
      <c r="B7" s="5" t="s">
        <v>8</v>
      </c>
      <c r="C7" s="5">
        <v>40.200000000000003</v>
      </c>
      <c r="D7" s="6">
        <v>73.3</v>
      </c>
      <c r="L7" t="s">
        <v>125</v>
      </c>
      <c r="M7" s="76">
        <v>20000</v>
      </c>
      <c r="N7" s="81" t="s">
        <v>162</v>
      </c>
      <c r="O7">
        <v>0.47799999999999998</v>
      </c>
      <c r="P7">
        <v>5.556</v>
      </c>
    </row>
    <row r="8" spans="1:16" ht="14.4" x14ac:dyDescent="0.3">
      <c r="A8" s="5" t="s">
        <v>10</v>
      </c>
      <c r="B8" s="5" t="s">
        <v>8</v>
      </c>
      <c r="C8" s="5">
        <v>40.200000000000003</v>
      </c>
      <c r="D8" s="6">
        <v>73.3</v>
      </c>
      <c r="L8" t="s">
        <v>126</v>
      </c>
      <c r="M8" s="77" t="s">
        <v>127</v>
      </c>
      <c r="N8" s="81" t="s">
        <v>162</v>
      </c>
      <c r="O8" t="s">
        <v>128</v>
      </c>
      <c r="P8" t="s">
        <v>129</v>
      </c>
    </row>
    <row r="9" spans="1:16" ht="14.4" x14ac:dyDescent="0.3">
      <c r="A9" s="5" t="s">
        <v>11</v>
      </c>
      <c r="B9" s="5" t="s">
        <v>8</v>
      </c>
      <c r="C9" s="5">
        <v>25.8</v>
      </c>
      <c r="D9" s="6">
        <v>94.6</v>
      </c>
      <c r="L9" t="s">
        <v>130</v>
      </c>
      <c r="M9" s="77" t="s">
        <v>131</v>
      </c>
      <c r="N9" s="81" t="s">
        <v>162</v>
      </c>
      <c r="O9" t="s">
        <v>132</v>
      </c>
      <c r="P9" t="s">
        <v>133</v>
      </c>
    </row>
    <row r="10" spans="1:16" ht="14.4" x14ac:dyDescent="0.3">
      <c r="A10" s="5" t="s">
        <v>12</v>
      </c>
      <c r="B10" s="5" t="s">
        <v>8</v>
      </c>
      <c r="C10" s="5">
        <v>26.7</v>
      </c>
      <c r="D10" s="6">
        <v>98.3</v>
      </c>
      <c r="L10" t="s">
        <v>134</v>
      </c>
      <c r="M10" s="77" t="s">
        <v>135</v>
      </c>
      <c r="N10" s="80">
        <f>C41*1000</f>
        <v>38100</v>
      </c>
      <c r="O10" t="s">
        <v>136</v>
      </c>
      <c r="P10" t="s">
        <v>137</v>
      </c>
    </row>
    <row r="11" spans="1:16" ht="14.4" x14ac:dyDescent="0.3">
      <c r="A11" s="5" t="s">
        <v>13</v>
      </c>
      <c r="B11" s="5" t="s">
        <v>14</v>
      </c>
      <c r="C11" s="5">
        <v>27</v>
      </c>
      <c r="D11" s="6">
        <v>0</v>
      </c>
      <c r="L11" t="s">
        <v>138</v>
      </c>
      <c r="M11" s="77" t="s">
        <v>139</v>
      </c>
      <c r="N11" s="79">
        <f>C66*1000</f>
        <v>9760</v>
      </c>
      <c r="O11" t="s">
        <v>140</v>
      </c>
      <c r="P11" t="s">
        <v>141</v>
      </c>
    </row>
    <row r="12" spans="1:16" ht="14.4" x14ac:dyDescent="0.3">
      <c r="A12" s="5" t="s">
        <v>15</v>
      </c>
      <c r="B12" s="5" t="s">
        <v>14</v>
      </c>
      <c r="C12" s="5">
        <v>27</v>
      </c>
      <c r="D12" s="6">
        <v>0</v>
      </c>
      <c r="L12" t="s">
        <v>142</v>
      </c>
      <c r="M12" s="77" t="s">
        <v>143</v>
      </c>
      <c r="N12" s="81" t="s">
        <v>162</v>
      </c>
      <c r="O12" t="s">
        <v>144</v>
      </c>
      <c r="P12" t="s">
        <v>145</v>
      </c>
    </row>
    <row r="13" spans="1:16" ht="14.4" x14ac:dyDescent="0.3">
      <c r="A13" s="5" t="s">
        <v>16</v>
      </c>
      <c r="B13" s="5" t="s">
        <v>17</v>
      </c>
      <c r="C13" s="5">
        <v>2.844E-2</v>
      </c>
      <c r="D13" s="6">
        <v>0</v>
      </c>
      <c r="L13" t="s">
        <v>146</v>
      </c>
      <c r="M13" s="76">
        <v>40000</v>
      </c>
      <c r="N13" s="80">
        <f>C59*1000</f>
        <v>40604</v>
      </c>
      <c r="O13">
        <v>0.95499999999999996</v>
      </c>
      <c r="P13">
        <v>11.111000000000001</v>
      </c>
    </row>
    <row r="14" spans="1:16" ht="14.4" x14ac:dyDescent="0.3">
      <c r="A14" s="5" t="s">
        <v>18</v>
      </c>
      <c r="B14" s="5" t="s">
        <v>8</v>
      </c>
      <c r="C14" s="5">
        <v>14.6</v>
      </c>
      <c r="D14" s="6">
        <v>0</v>
      </c>
      <c r="L14" t="s">
        <v>147</v>
      </c>
      <c r="M14" s="76">
        <v>42300</v>
      </c>
      <c r="N14" s="80">
        <f>C28*1000</f>
        <v>42279</v>
      </c>
      <c r="O14">
        <v>1.01</v>
      </c>
      <c r="P14">
        <v>11.75</v>
      </c>
    </row>
    <row r="15" spans="1:16" ht="14.4" x14ac:dyDescent="0.3">
      <c r="A15" s="5" t="s">
        <v>19</v>
      </c>
      <c r="B15" s="5" t="s">
        <v>8</v>
      </c>
      <c r="C15" s="5">
        <v>40.200000000000003</v>
      </c>
      <c r="D15" s="6">
        <v>80.7</v>
      </c>
      <c r="L15" t="s">
        <v>148</v>
      </c>
      <c r="M15" s="76">
        <v>44000</v>
      </c>
      <c r="N15" s="80">
        <f>C47*1000</f>
        <v>44300</v>
      </c>
      <c r="O15">
        <v>1.0509999999999999</v>
      </c>
      <c r="P15">
        <v>12.222</v>
      </c>
    </row>
    <row r="16" spans="1:16" ht="14.4" x14ac:dyDescent="0.3">
      <c r="A16" s="5" t="s">
        <v>20</v>
      </c>
      <c r="B16" s="5" t="s">
        <v>8</v>
      </c>
      <c r="C16" s="5">
        <v>8.9</v>
      </c>
      <c r="D16" s="6">
        <v>107</v>
      </c>
      <c r="L16" t="s">
        <v>149</v>
      </c>
      <c r="M16" s="76">
        <v>40000</v>
      </c>
      <c r="N16" s="80">
        <f>C53*1000</f>
        <v>40200</v>
      </c>
      <c r="O16">
        <v>0.95499999999999996</v>
      </c>
      <c r="P16">
        <v>11.111000000000001</v>
      </c>
    </row>
    <row r="17" spans="1:16" ht="14.4" x14ac:dyDescent="0.3">
      <c r="A17" s="5" t="s">
        <v>21</v>
      </c>
      <c r="B17" s="5" t="s">
        <v>8</v>
      </c>
      <c r="C17" s="7">
        <v>45.7</v>
      </c>
      <c r="D17" s="6">
        <v>63.1</v>
      </c>
      <c r="E17" s="1">
        <f>C18/C17</f>
        <v>0.58499999999999996</v>
      </c>
      <c r="L17" t="s">
        <v>150</v>
      </c>
      <c r="M17" s="76">
        <v>46000</v>
      </c>
      <c r="N17" s="80">
        <f>C43*1000</f>
        <v>45949</v>
      </c>
      <c r="O17">
        <v>1.099</v>
      </c>
      <c r="P17">
        <v>12.778</v>
      </c>
    </row>
    <row r="18" spans="1:16" ht="14.4" x14ac:dyDescent="0.3">
      <c r="A18" s="5" t="s">
        <v>22</v>
      </c>
      <c r="B18" s="5" t="s">
        <v>14</v>
      </c>
      <c r="C18" s="5">
        <v>26.734500000000001</v>
      </c>
      <c r="D18" s="6">
        <v>63.1</v>
      </c>
      <c r="L18" t="s">
        <v>151</v>
      </c>
      <c r="M18" s="76">
        <v>47200</v>
      </c>
      <c r="N18" s="80">
        <v>48000</v>
      </c>
      <c r="O18">
        <v>1.1259999999999999</v>
      </c>
      <c r="P18">
        <v>13.1</v>
      </c>
    </row>
    <row r="19" spans="1:16" ht="14.4" x14ac:dyDescent="0.3">
      <c r="A19" s="5" t="s">
        <v>23</v>
      </c>
      <c r="B19" s="5" t="s">
        <v>8</v>
      </c>
      <c r="C19" s="5">
        <v>28.2</v>
      </c>
      <c r="D19" s="6">
        <v>94.6</v>
      </c>
      <c r="L19" t="s">
        <v>164</v>
      </c>
      <c r="M19" s="76">
        <v>45190</v>
      </c>
      <c r="N19" s="81" t="s">
        <v>167</v>
      </c>
      <c r="O19">
        <v>1.079</v>
      </c>
      <c r="P19">
        <v>12.553000000000001</v>
      </c>
    </row>
    <row r="20" spans="1:16" ht="14.4" x14ac:dyDescent="0.3">
      <c r="A20" s="5" t="s">
        <v>24</v>
      </c>
      <c r="B20" s="5" t="s">
        <v>8</v>
      </c>
      <c r="C20" s="5">
        <v>28.2</v>
      </c>
      <c r="D20" s="6">
        <v>107</v>
      </c>
      <c r="F20" s="63" t="s">
        <v>89</v>
      </c>
      <c r="G20" s="64"/>
      <c r="H20" s="64"/>
      <c r="I20" s="65"/>
      <c r="L20" t="s">
        <v>152</v>
      </c>
      <c r="M20" s="76">
        <v>13800</v>
      </c>
      <c r="N20" s="80">
        <f>C31*1000</f>
        <v>15600</v>
      </c>
      <c r="O20">
        <v>0.33</v>
      </c>
      <c r="P20">
        <v>3.8330000000000002</v>
      </c>
    </row>
    <row r="21" spans="1:16" ht="15" x14ac:dyDescent="0.35">
      <c r="A21" s="5" t="s">
        <v>25</v>
      </c>
      <c r="B21" s="5" t="s">
        <v>8</v>
      </c>
      <c r="C21" s="5">
        <v>38.700000000000003</v>
      </c>
      <c r="D21" s="6">
        <v>44.4</v>
      </c>
      <c r="F21" s="66" t="s">
        <v>90</v>
      </c>
      <c r="G21" s="67">
        <f>D22</f>
        <v>44.444444444444443</v>
      </c>
      <c r="H21" s="68" t="s">
        <v>94</v>
      </c>
      <c r="I21" s="69"/>
      <c r="L21" t="s">
        <v>153</v>
      </c>
      <c r="M21" s="76">
        <v>16800</v>
      </c>
      <c r="N21" s="81" t="s">
        <v>167</v>
      </c>
      <c r="O21">
        <v>0.40100000000000002</v>
      </c>
      <c r="P21">
        <v>4.6669999999999998</v>
      </c>
    </row>
    <row r="22" spans="1:16" s="22" customFormat="1" ht="15" x14ac:dyDescent="0.35">
      <c r="A22" s="20" t="s">
        <v>26</v>
      </c>
      <c r="B22" s="20" t="s">
        <v>27</v>
      </c>
      <c r="C22" s="20">
        <v>9</v>
      </c>
      <c r="D22" s="23">
        <v>44.444444444444443</v>
      </c>
      <c r="F22" s="66" t="s">
        <v>92</v>
      </c>
      <c r="G22" s="67">
        <f>G21/0.4</f>
        <v>111.1111111111111</v>
      </c>
      <c r="H22" s="68" t="s">
        <v>93</v>
      </c>
      <c r="I22" s="69"/>
      <c r="L22" t="s">
        <v>154</v>
      </c>
      <c r="M22" s="77" t="s">
        <v>155</v>
      </c>
      <c r="N22" s="81" t="s">
        <v>167</v>
      </c>
      <c r="O22" t="s">
        <v>156</v>
      </c>
      <c r="P22" t="s">
        <v>157</v>
      </c>
    </row>
    <row r="23" spans="1:16" ht="15" x14ac:dyDescent="0.35">
      <c r="A23" s="5" t="s">
        <v>28</v>
      </c>
      <c r="B23" s="5" t="s">
        <v>8</v>
      </c>
      <c r="C23" s="5">
        <v>46.4</v>
      </c>
      <c r="D23" s="6">
        <v>61.6</v>
      </c>
      <c r="F23" s="66" t="s">
        <v>92</v>
      </c>
      <c r="G23" s="67">
        <f>G22/0.277777777777777</f>
        <v>400.00000000000108</v>
      </c>
      <c r="H23" s="68" t="s">
        <v>95</v>
      </c>
      <c r="I23" s="69"/>
      <c r="L23" t="s">
        <v>158</v>
      </c>
      <c r="M23" s="76">
        <v>1000</v>
      </c>
      <c r="N23" s="81" t="s">
        <v>163</v>
      </c>
      <c r="O23">
        <v>2.4E-2</v>
      </c>
      <c r="P23">
        <v>0.27800000000000002</v>
      </c>
    </row>
    <row r="24" spans="1:16" ht="15" x14ac:dyDescent="0.35">
      <c r="A24" s="5" t="s">
        <v>29</v>
      </c>
      <c r="B24" s="5" t="s">
        <v>8</v>
      </c>
      <c r="C24" s="5">
        <v>38.700000000000003</v>
      </c>
      <c r="D24" s="6">
        <v>44.4</v>
      </c>
      <c r="F24" s="70" t="s">
        <v>92</v>
      </c>
      <c r="G24" s="71">
        <f>G23</f>
        <v>400.00000000000108</v>
      </c>
      <c r="H24" s="72" t="s">
        <v>96</v>
      </c>
      <c r="I24" s="73"/>
      <c r="L24" t="s">
        <v>159</v>
      </c>
      <c r="M24" s="76">
        <v>3600</v>
      </c>
      <c r="N24" s="81" t="s">
        <v>163</v>
      </c>
      <c r="O24">
        <v>8.5999999999999993E-2</v>
      </c>
      <c r="P24">
        <v>1</v>
      </c>
    </row>
    <row r="25" spans="1:16" ht="14.4" x14ac:dyDescent="0.3">
      <c r="A25" s="5" t="s">
        <v>30</v>
      </c>
      <c r="B25" s="5" t="s">
        <v>8</v>
      </c>
      <c r="C25" s="5">
        <v>14.6</v>
      </c>
      <c r="D25" s="8">
        <v>5.5075342465753428E-2</v>
      </c>
      <c r="L25"/>
      <c r="M25"/>
      <c r="N25"/>
      <c r="O25"/>
      <c r="P25"/>
    </row>
    <row r="26" spans="1:16" x14ac:dyDescent="0.3">
      <c r="A26" s="5" t="s">
        <v>31</v>
      </c>
      <c r="B26" s="5" t="s">
        <v>8</v>
      </c>
      <c r="C26" s="5">
        <v>28.2</v>
      </c>
      <c r="D26" s="6">
        <v>107</v>
      </c>
    </row>
    <row r="27" spans="1:16" s="22" customFormat="1" x14ac:dyDescent="0.3">
      <c r="A27" s="20" t="s">
        <v>32</v>
      </c>
      <c r="B27" s="20" t="s">
        <v>14</v>
      </c>
      <c r="C27" s="20">
        <v>35.937150000000003</v>
      </c>
      <c r="D27" s="21">
        <v>74.099999999999994</v>
      </c>
      <c r="E27" s="22">
        <f>C27/C28</f>
        <v>0.85</v>
      </c>
      <c r="F27" s="22" t="s">
        <v>83</v>
      </c>
    </row>
    <row r="28" spans="1:16" x14ac:dyDescent="0.3">
      <c r="A28" s="5" t="s">
        <v>33</v>
      </c>
      <c r="B28" s="5" t="s">
        <v>8</v>
      </c>
      <c r="C28" s="5">
        <v>42.279000000000003</v>
      </c>
      <c r="D28" s="6">
        <v>74.099999999999994</v>
      </c>
      <c r="F28" s="24" t="s">
        <v>165</v>
      </c>
    </row>
    <row r="29" spans="1:16" x14ac:dyDescent="0.3">
      <c r="A29" s="5" t="s">
        <v>34</v>
      </c>
      <c r="B29" s="5" t="s">
        <v>35</v>
      </c>
      <c r="C29" s="5">
        <v>35.937150000000003</v>
      </c>
      <c r="D29" s="6">
        <v>74.099999999999994</v>
      </c>
    </row>
    <row r="30" spans="1:16" x14ac:dyDescent="0.3">
      <c r="A30" s="5" t="s">
        <v>36</v>
      </c>
      <c r="B30" s="5" t="s">
        <v>8</v>
      </c>
      <c r="C30" s="5">
        <v>2.4700000000000002</v>
      </c>
      <c r="D30" s="6">
        <v>260</v>
      </c>
    </row>
    <row r="31" spans="1:16" x14ac:dyDescent="0.3">
      <c r="A31" s="5" t="s">
        <v>37</v>
      </c>
      <c r="B31" s="5" t="s">
        <v>8</v>
      </c>
      <c r="C31" s="5">
        <v>15.6</v>
      </c>
      <c r="D31" s="6">
        <v>0</v>
      </c>
    </row>
    <row r="32" spans="1:16" x14ac:dyDescent="0.3">
      <c r="A32" s="5" t="s">
        <v>38</v>
      </c>
      <c r="B32" s="5" t="s">
        <v>8</v>
      </c>
      <c r="C32" s="5">
        <v>29.5</v>
      </c>
      <c r="D32" s="6">
        <v>0</v>
      </c>
    </row>
    <row r="33" spans="1:6" x14ac:dyDescent="0.3">
      <c r="A33" s="5" t="s">
        <v>39</v>
      </c>
      <c r="B33" s="5" t="s">
        <v>14</v>
      </c>
      <c r="C33" s="5">
        <v>34.492800000000003</v>
      </c>
      <c r="D33" s="6">
        <v>71.900000000000006</v>
      </c>
      <c r="E33" s="1">
        <f>C33/C34</f>
        <v>0.8</v>
      </c>
    </row>
    <row r="34" spans="1:6" x14ac:dyDescent="0.3">
      <c r="A34" s="5" t="s">
        <v>40</v>
      </c>
      <c r="B34" s="5" t="s">
        <v>8</v>
      </c>
      <c r="C34" s="5">
        <v>43.116</v>
      </c>
      <c r="D34" s="6">
        <v>71.900000000000006</v>
      </c>
    </row>
    <row r="35" spans="1:6" x14ac:dyDescent="0.3">
      <c r="A35" s="5" t="s">
        <v>41</v>
      </c>
      <c r="B35" s="5" t="s">
        <v>17</v>
      </c>
      <c r="C35" s="5">
        <v>1.2625000000000001E-2</v>
      </c>
      <c r="D35" s="6">
        <v>155.21</v>
      </c>
    </row>
    <row r="36" spans="1:6" x14ac:dyDescent="0.3">
      <c r="A36" s="5" t="s">
        <v>42</v>
      </c>
      <c r="B36" s="5" t="s">
        <v>8</v>
      </c>
      <c r="C36" s="5">
        <v>10.1</v>
      </c>
      <c r="D36" s="6">
        <v>155.21</v>
      </c>
    </row>
    <row r="37" spans="1:6" x14ac:dyDescent="0.3">
      <c r="A37" s="5" t="s">
        <v>43</v>
      </c>
      <c r="B37" s="5" t="s">
        <v>8</v>
      </c>
      <c r="C37" s="5">
        <v>28</v>
      </c>
      <c r="D37" s="6">
        <v>80.7</v>
      </c>
    </row>
    <row r="38" spans="1:6" x14ac:dyDescent="0.3">
      <c r="A38" s="5" t="s">
        <v>44</v>
      </c>
      <c r="B38" s="84" t="s">
        <v>8</v>
      </c>
      <c r="C38" s="5">
        <v>34.492800000000003</v>
      </c>
      <c r="D38" s="6">
        <v>71.900000000000006</v>
      </c>
      <c r="E38" s="82">
        <f>C38/C39</f>
        <v>0.8</v>
      </c>
    </row>
    <row r="39" spans="1:6" x14ac:dyDescent="0.3">
      <c r="A39" s="5" t="s">
        <v>45</v>
      </c>
      <c r="B39" s="5" t="s">
        <v>8</v>
      </c>
      <c r="C39" s="5">
        <v>43.116</v>
      </c>
      <c r="D39" s="6">
        <v>71.900000000000006</v>
      </c>
    </row>
    <row r="40" spans="1:6" x14ac:dyDescent="0.3">
      <c r="A40" s="5" t="s">
        <v>46</v>
      </c>
      <c r="B40" s="5" t="s">
        <v>14</v>
      </c>
      <c r="C40" s="5">
        <v>32.384999999999998</v>
      </c>
      <c r="D40" s="6">
        <v>73.3</v>
      </c>
    </row>
    <row r="41" spans="1:6" x14ac:dyDescent="0.3">
      <c r="A41" s="5" t="s">
        <v>47</v>
      </c>
      <c r="B41" s="5" t="s">
        <v>8</v>
      </c>
      <c r="C41" s="5">
        <v>38.1</v>
      </c>
      <c r="D41" s="6">
        <v>73.3</v>
      </c>
      <c r="E41" s="1">
        <f>C41/C40</f>
        <v>1.1764705882352942</v>
      </c>
    </row>
    <row r="42" spans="1:6" x14ac:dyDescent="0.3">
      <c r="A42" s="5" t="s">
        <v>48</v>
      </c>
      <c r="B42" s="5" t="s">
        <v>8</v>
      </c>
      <c r="C42" s="9">
        <v>11.9</v>
      </c>
      <c r="D42" s="6">
        <v>101</v>
      </c>
    </row>
    <row r="43" spans="1:6" x14ac:dyDescent="0.3">
      <c r="A43" s="5" t="s">
        <v>49</v>
      </c>
      <c r="B43" s="5" t="s">
        <v>8</v>
      </c>
      <c r="C43" s="5">
        <v>45.948999999999998</v>
      </c>
      <c r="D43" s="6">
        <v>63.1</v>
      </c>
    </row>
    <row r="44" spans="1:6" s="22" customFormat="1" x14ac:dyDescent="0.3">
      <c r="A44" s="20" t="s">
        <v>50</v>
      </c>
      <c r="B44" s="20" t="s">
        <v>14</v>
      </c>
      <c r="C44" s="20">
        <v>25.27195</v>
      </c>
      <c r="D44" s="21">
        <v>63.1</v>
      </c>
      <c r="E44" s="83">
        <f>C44/C43</f>
        <v>0.55000000000000004</v>
      </c>
    </row>
    <row r="45" spans="1:6" x14ac:dyDescent="0.3">
      <c r="A45" s="5" t="s">
        <v>51</v>
      </c>
      <c r="B45" s="5" t="s">
        <v>8</v>
      </c>
      <c r="C45" s="5">
        <v>50</v>
      </c>
      <c r="D45" s="6">
        <v>54.9</v>
      </c>
    </row>
    <row r="46" spans="1:6" x14ac:dyDescent="0.3">
      <c r="A46" s="5" t="s">
        <v>52</v>
      </c>
      <c r="B46" s="5" t="s">
        <v>17</v>
      </c>
      <c r="C46" s="5">
        <v>3.585E-2</v>
      </c>
      <c r="D46" s="6">
        <v>54.9</v>
      </c>
    </row>
    <row r="47" spans="1:6" s="22" customFormat="1" x14ac:dyDescent="0.3">
      <c r="A47" s="20" t="s">
        <v>53</v>
      </c>
      <c r="B47" s="20" t="s">
        <v>8</v>
      </c>
      <c r="C47" s="20">
        <v>44.3</v>
      </c>
      <c r="D47" s="21">
        <v>69.3</v>
      </c>
    </row>
    <row r="48" spans="1:6" s="27" customFormat="1" x14ac:dyDescent="0.3">
      <c r="A48" s="25" t="s">
        <v>86</v>
      </c>
      <c r="B48" s="25" t="s">
        <v>14</v>
      </c>
      <c r="C48" s="25">
        <f>C47*E48</f>
        <v>33.4465</v>
      </c>
      <c r="D48" s="26">
        <f>D47</f>
        <v>69.3</v>
      </c>
      <c r="E48" s="27">
        <v>0.755</v>
      </c>
      <c r="F48" s="27" t="s">
        <v>87</v>
      </c>
    </row>
    <row r="49" spans="1:6" x14ac:dyDescent="0.3">
      <c r="A49" s="5" t="s">
        <v>54</v>
      </c>
      <c r="B49" s="5" t="s">
        <v>8</v>
      </c>
      <c r="C49" s="5">
        <v>44.5</v>
      </c>
      <c r="D49" s="6">
        <v>73.3</v>
      </c>
    </row>
    <row r="50" spans="1:6" x14ac:dyDescent="0.3">
      <c r="A50" s="5" t="s">
        <v>55</v>
      </c>
      <c r="B50" s="5" t="s">
        <v>8</v>
      </c>
      <c r="C50" s="5">
        <v>27.5</v>
      </c>
      <c r="D50" s="6">
        <v>77</v>
      </c>
    </row>
    <row r="51" spans="1:6" x14ac:dyDescent="0.3">
      <c r="A51" s="5" t="s">
        <v>56</v>
      </c>
      <c r="B51" s="5" t="s">
        <v>8</v>
      </c>
      <c r="C51" s="5">
        <v>50.4</v>
      </c>
      <c r="D51" s="6">
        <v>0</v>
      </c>
    </row>
    <row r="52" spans="1:6" x14ac:dyDescent="0.3">
      <c r="A52" s="5" t="s">
        <v>57</v>
      </c>
      <c r="B52" s="5" t="s">
        <v>8</v>
      </c>
      <c r="C52" s="5">
        <v>7.06</v>
      </c>
      <c r="D52" s="6">
        <v>182</v>
      </c>
    </row>
    <row r="53" spans="1:6" x14ac:dyDescent="0.3">
      <c r="A53" s="5" t="s">
        <v>58</v>
      </c>
      <c r="B53" s="5" t="s">
        <v>8</v>
      </c>
      <c r="C53" s="5">
        <v>40.200000000000003</v>
      </c>
      <c r="D53" s="6">
        <v>73.3</v>
      </c>
    </row>
    <row r="54" spans="1:6" x14ac:dyDescent="0.3">
      <c r="A54" s="5" t="s">
        <v>59</v>
      </c>
      <c r="B54" s="5" t="s">
        <v>8</v>
      </c>
      <c r="C54" s="5">
        <v>32.5</v>
      </c>
      <c r="D54" s="6">
        <v>97.5</v>
      </c>
    </row>
    <row r="55" spans="1:6" x14ac:dyDescent="0.3">
      <c r="A55" s="5" t="s">
        <v>60</v>
      </c>
      <c r="B55" s="5" t="s">
        <v>8</v>
      </c>
      <c r="C55" s="5">
        <v>46.2</v>
      </c>
      <c r="D55" s="6">
        <v>63.1</v>
      </c>
    </row>
    <row r="56" spans="1:6" x14ac:dyDescent="0.3">
      <c r="A56" s="5" t="s">
        <v>61</v>
      </c>
      <c r="B56" s="5" t="s">
        <v>14</v>
      </c>
      <c r="C56" s="5">
        <v>24.301200000000001</v>
      </c>
      <c r="D56" s="6">
        <v>63.1</v>
      </c>
    </row>
    <row r="57" spans="1:6" x14ac:dyDescent="0.3">
      <c r="A57" s="5" t="s">
        <v>62</v>
      </c>
      <c r="B57" s="5" t="s">
        <v>8</v>
      </c>
      <c r="C57" s="5">
        <v>49.5</v>
      </c>
      <c r="D57" s="6">
        <v>57.6</v>
      </c>
    </row>
    <row r="58" spans="1:6" x14ac:dyDescent="0.3">
      <c r="A58" s="5" t="s">
        <v>63</v>
      </c>
      <c r="B58" s="5" t="s">
        <v>8</v>
      </c>
      <c r="C58" s="5">
        <v>43</v>
      </c>
      <c r="D58" s="6">
        <v>73.3</v>
      </c>
    </row>
    <row r="59" spans="1:6" x14ac:dyDescent="0.3">
      <c r="A59" s="5" t="s">
        <v>64</v>
      </c>
      <c r="B59" s="5" t="s">
        <v>8</v>
      </c>
      <c r="C59" s="5">
        <v>40.603999999999999</v>
      </c>
      <c r="D59" s="6">
        <v>77.400000000000006</v>
      </c>
      <c r="F59" s="22" t="s">
        <v>166</v>
      </c>
    </row>
    <row r="60" spans="1:6" x14ac:dyDescent="0.3">
      <c r="A60" s="5" t="s">
        <v>65</v>
      </c>
      <c r="B60" s="5" t="s">
        <v>8</v>
      </c>
      <c r="C60" s="5">
        <v>42.3</v>
      </c>
      <c r="D60" s="6">
        <v>73.3</v>
      </c>
    </row>
    <row r="61" spans="1:6" x14ac:dyDescent="0.3">
      <c r="A61" s="5" t="s">
        <v>66</v>
      </c>
      <c r="B61" s="5" t="s">
        <v>8</v>
      </c>
      <c r="C61" s="5">
        <v>50.4</v>
      </c>
      <c r="D61" s="6">
        <v>0</v>
      </c>
    </row>
    <row r="62" spans="1:6" x14ac:dyDescent="0.3">
      <c r="A62" s="5" t="s">
        <v>67</v>
      </c>
      <c r="B62" s="5" t="s">
        <v>8</v>
      </c>
      <c r="C62" s="5">
        <v>40.200000000000003</v>
      </c>
      <c r="D62" s="6">
        <v>73.3</v>
      </c>
    </row>
    <row r="63" spans="1:6" s="22" customFormat="1" x14ac:dyDescent="0.3">
      <c r="A63" s="20" t="s">
        <v>68</v>
      </c>
      <c r="B63" s="20" t="s">
        <v>8</v>
      </c>
      <c r="C63" s="20">
        <v>20.7</v>
      </c>
      <c r="D63" s="21">
        <v>97.5</v>
      </c>
    </row>
    <row r="64" spans="1:6" x14ac:dyDescent="0.3">
      <c r="A64" s="5" t="s">
        <v>69</v>
      </c>
      <c r="B64" s="5" t="s">
        <v>8</v>
      </c>
      <c r="C64" s="5">
        <v>50.4</v>
      </c>
      <c r="D64" s="6">
        <v>0</v>
      </c>
    </row>
    <row r="65" spans="1:4" x14ac:dyDescent="0.3">
      <c r="A65" s="5" t="s">
        <v>70</v>
      </c>
      <c r="B65" s="5" t="s">
        <v>8</v>
      </c>
      <c r="C65" s="5">
        <v>18.899999999999999</v>
      </c>
      <c r="D65" s="6">
        <v>96.1</v>
      </c>
    </row>
    <row r="66" spans="1:4" x14ac:dyDescent="0.3">
      <c r="A66" s="5" t="s">
        <v>71</v>
      </c>
      <c r="B66" s="5" t="s">
        <v>8</v>
      </c>
      <c r="C66" s="5">
        <v>9.76</v>
      </c>
      <c r="D66" s="6">
        <v>106</v>
      </c>
    </row>
    <row r="67" spans="1:4" x14ac:dyDescent="0.3">
      <c r="A67" s="5" t="s">
        <v>72</v>
      </c>
      <c r="B67" s="5" t="s">
        <v>8</v>
      </c>
      <c r="C67" s="5">
        <v>14.6</v>
      </c>
      <c r="D67" s="6">
        <v>0</v>
      </c>
    </row>
    <row r="68" spans="1:4" x14ac:dyDescent="0.3">
      <c r="A68" s="5" t="s">
        <v>73</v>
      </c>
      <c r="B68" s="5" t="s">
        <v>8</v>
      </c>
      <c r="C68" s="5">
        <v>47.3</v>
      </c>
      <c r="D68" s="6">
        <v>63.1</v>
      </c>
    </row>
    <row r="69" spans="1:4" x14ac:dyDescent="0.3">
      <c r="A69" s="5" t="s">
        <v>74</v>
      </c>
      <c r="B69" s="5" t="s">
        <v>8</v>
      </c>
      <c r="C69" s="5">
        <v>40.200000000000003</v>
      </c>
      <c r="D69" s="6">
        <v>73.3</v>
      </c>
    </row>
    <row r="70" spans="1:4" x14ac:dyDescent="0.3">
      <c r="A70" s="10" t="s">
        <v>75</v>
      </c>
      <c r="B70" s="10" t="s">
        <v>8</v>
      </c>
      <c r="C70" s="10">
        <v>15.6</v>
      </c>
      <c r="D70" s="11">
        <v>0</v>
      </c>
    </row>
  </sheetData>
  <mergeCells count="3">
    <mergeCell ref="A1:D1"/>
    <mergeCell ref="L1:P1"/>
    <mergeCell ref="L2:P2"/>
  </mergeCells>
  <pageMargins left="0.70866141732283472" right="0.70866141732283472" top="0.74803149606299213" bottom="0.74803149606299213" header="0.31496062992125984" footer="0.31496062992125984"/>
  <pageSetup scale="70" orientation="portrait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1F1FEF5737647B7552942F1C6B532" ma:contentTypeVersion="9" ma:contentTypeDescription="Een nieuw document maken." ma:contentTypeScope="" ma:versionID="93e1dad06ef8589153fab37f799a71b6">
  <xsd:schema xmlns:xsd="http://www.w3.org/2001/XMLSchema" xmlns:xs="http://www.w3.org/2001/XMLSchema" xmlns:p="http://schemas.microsoft.com/office/2006/metadata/properties" xmlns:ns2="886a216b-5069-48e7-9917-55ca12135022" targetNamespace="http://schemas.microsoft.com/office/2006/metadata/properties" ma:root="true" ma:fieldsID="0cbc63e2b26235dff193d1f54dcbe920" ns2:_="">
    <xsd:import namespace="886a216b-5069-48e7-9917-55ca12135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a216b-5069-48e7-9917-55ca12135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CF070-9F1D-4A0E-852C-BD382680DE1B}">
  <ds:schemaRefs>
    <ds:schemaRef ds:uri="8855ee69-1016-4332-a553-09139effef0f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d74020f-bff5-4f51-81da-96c5549c3ec3"/>
    <ds:schemaRef ds:uri="http://schemas.microsoft.com/sharepoint/v3"/>
    <ds:schemaRef ds:uri="b3dd6d19-e6a9-4834-b750-18644a57de18"/>
    <ds:schemaRef ds:uri="35a8877d-df29-4586-9982-f85c13450b9f"/>
  </ds:schemaRefs>
</ds:datastoreItem>
</file>

<file path=customXml/itemProps2.xml><?xml version="1.0" encoding="utf-8"?>
<ds:datastoreItem xmlns:ds="http://schemas.openxmlformats.org/officeDocument/2006/customXml" ds:itemID="{E55E12CC-88E0-4C77-A03A-DEEC13C6D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a216b-5069-48e7-9917-55ca12135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35E57A-5508-4415-B00D-0949BEBB4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Verbruik prim CO2</vt:lpstr>
      <vt:lpstr>Energiegebruik</vt:lpstr>
      <vt:lpstr>Energievectoren</vt:lpstr>
      <vt:lpstr>Energiegebruik!Afdrukbereik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Recko</dc:creator>
  <cp:lastModifiedBy>Bram De Keulenaere</cp:lastModifiedBy>
  <cp:lastPrinted>2018-12-03T13:34:48Z</cp:lastPrinted>
  <dcterms:created xsi:type="dcterms:W3CDTF">2014-11-20T13:19:25Z</dcterms:created>
  <dcterms:modified xsi:type="dcterms:W3CDTF">2021-06-30T13:20:35Z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0x0101007681F1FEF5737647B7552942F1C6B532</vt:lpwstr>
  </property>
  <property fmtid="{D5CDD505-2E9C-101B-9397-08002B2CF9AE}" pid="3" name="TaxKeyword">
    <vt:lpwstr/>
  </property>
</Properties>
</file>